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48" windowWidth="15180" windowHeight="8580" activeTab="0"/>
  </bookViews>
  <sheets>
    <sheet name="17O Ratios &amp; Corrections (WB)" sheetId="1" r:id="rId1"/>
    <sheet name="Santrock data" sheetId="3" r:id="rId2"/>
    <sheet name="Gilles' cleanup " sheetId="2" r:id="rId3"/>
  </sheets>
  <definedNames>
    <definedName name="_13R">#REF!</definedName>
    <definedName name="_17R">#REF!</definedName>
    <definedName name="_18R">#REF!</definedName>
    <definedName name="_45R">#REF!</definedName>
    <definedName name="_46R">#REF!</definedName>
    <definedName name="beta">#REF!</definedName>
    <definedName name="epsilon">#REF!</definedName>
    <definedName name="epsilon1">#REF!</definedName>
    <definedName name="epsilon2">#REF!</definedName>
    <definedName name="_xlnm.Print_Area" localSheetId="0">'17O Ratios &amp; Corrections (WB)'!$A$1:$M$60</definedName>
  </definedNames>
  <calcPr calcId="145621"/>
</workbook>
</file>

<file path=xl/sharedStrings.xml><?xml version="1.0" encoding="utf-8"?>
<sst xmlns="http://schemas.openxmlformats.org/spreadsheetml/2006/main" count="152" uniqueCount="111">
  <si>
    <t>Craig</t>
  </si>
  <si>
    <t>13R (V)PDB</t>
  </si>
  <si>
    <t>Zhang&amp;Li</t>
  </si>
  <si>
    <t>18O SMOW</t>
  </si>
  <si>
    <t>Baertschi</t>
  </si>
  <si>
    <t>Allison</t>
  </si>
  <si>
    <t>Santrock</t>
  </si>
  <si>
    <t>Meijer</t>
  </si>
  <si>
    <t>Miller</t>
  </si>
  <si>
    <t>Assonov</t>
  </si>
  <si>
    <t>17O(V)SMOW</t>
  </si>
  <si>
    <t>45R (13C_Craig)</t>
  </si>
  <si>
    <t>45R (13C_Zhang)</t>
  </si>
  <si>
    <t>46R(V)PDB (Craig)</t>
  </si>
  <si>
    <t>46R(V)PDB (Zhang)</t>
  </si>
  <si>
    <t>18O (V)PDB-CO2</t>
  </si>
  <si>
    <t>17O (V)PDB-CO2</t>
  </si>
  <si>
    <t>Li</t>
  </si>
  <si>
    <t>R17=K*R18^L</t>
  </si>
  <si>
    <t>Lambda (='L')</t>
  </si>
  <si>
    <t>R13=R45-2K18R^L</t>
  </si>
  <si>
    <t>R45=R13+2R17 = (d45/1000+1)*R45(VPDB)</t>
  </si>
  <si>
    <t>K=17R/18R^L</t>
  </si>
  <si>
    <t>Ratios from:</t>
  </si>
  <si>
    <t>1st step: R18=R46/2</t>
  </si>
  <si>
    <t xml:space="preserve">2nd step: f(R18) =-3K^2*R18^(2L) + 2KR45R18^L + 2R18-R46 </t>
  </si>
  <si>
    <t xml:space="preserve"> f'(R18) =-6K^2*L*R18^(2L-1) + 2*K*R45*LR18^L-1 + 2 </t>
  </si>
  <si>
    <t xml:space="preserve">3rd step: f(R18) =-3K^2*R18^(2L) + 2KR45R18^L + 2R18-R46 </t>
  </si>
  <si>
    <t>R18(new)=R18-f(R18)/f'(R18)</t>
  </si>
  <si>
    <t>R18(final)=R18-f(R18)/f'(R18)</t>
  </si>
  <si>
    <t>del45 =</t>
  </si>
  <si>
    <t>del46 =</t>
  </si>
  <si>
    <t xml:space="preserve">4th(last) step: f(R18) =-3K^2*R18^(2L) + 2KR45R18^L + 2R18-R46 </t>
  </si>
  <si>
    <t>Craig approximation (Ratios):</t>
  </si>
  <si>
    <t>Craig approximation(factors)</t>
  </si>
  <si>
    <t>Santrock-Studley-Hayes:</t>
  </si>
  <si>
    <t xml:space="preserve"> (exact solution)</t>
  </si>
  <si>
    <t>(correct ratios)</t>
  </si>
  <si>
    <t>(often used)</t>
  </si>
  <si>
    <t>(with Assonovs Ratios)</t>
  </si>
  <si>
    <t>Werner&amp;Brand (original)</t>
  </si>
  <si>
    <t>d17Sample=d18Sample*L</t>
  </si>
  <si>
    <t>R13(Sa)</t>
  </si>
  <si>
    <t>2*R17(Sa)</t>
  </si>
  <si>
    <t>d45(Sa)</t>
  </si>
  <si>
    <t>d46(Sa)</t>
  </si>
  <si>
    <t>R18=(d18/1000+1)*R18(VPDB)</t>
  </si>
  <si>
    <t>del13 vsVPDB(g)</t>
  </si>
  <si>
    <t>del18 vsVPDB(g)</t>
  </si>
  <si>
    <t xml:space="preserve"> (vs VPDBgas)</t>
  </si>
  <si>
    <t>Newton-Raphson (4 steps):</t>
  </si>
  <si>
    <t>Deviation between input and output (corrected for 45 mismatch)</t>
  </si>
  <si>
    <t>Size of correction:</t>
  </si>
  <si>
    <t xml:space="preserve">Craig (including expansion quadratic term) </t>
  </si>
  <si>
    <t>INPUT:</t>
  </si>
  <si>
    <t>17O correction procedures</t>
  </si>
  <si>
    <t xml:space="preserve"> ‰ </t>
  </si>
  <si>
    <r>
      <t>d</t>
    </r>
    <r>
      <rPr>
        <b/>
        <vertAlign val="superscript"/>
        <sz val="8"/>
        <rFont val="Arial"/>
        <family val="2"/>
      </rPr>
      <t>13</t>
    </r>
    <r>
      <rPr>
        <b/>
        <sz val="8"/>
        <rFont val="Arial"/>
        <family val="2"/>
      </rPr>
      <t>C</t>
    </r>
    <r>
      <rPr>
        <b/>
        <vertAlign val="subscript"/>
        <sz val="8"/>
        <rFont val="Arial"/>
        <family val="2"/>
      </rPr>
      <t>VPDB</t>
    </r>
    <r>
      <rPr>
        <b/>
        <sz val="8"/>
        <rFont val="Arial"/>
        <family val="2"/>
      </rPr>
      <t>(gas)</t>
    </r>
  </si>
  <si>
    <r>
      <t>d</t>
    </r>
    <r>
      <rPr>
        <b/>
        <vertAlign val="superscript"/>
        <sz val="8"/>
        <rFont val="Arial"/>
        <family val="2"/>
      </rPr>
      <t>18</t>
    </r>
    <r>
      <rPr>
        <b/>
        <sz val="8"/>
        <rFont val="Arial"/>
        <family val="2"/>
      </rPr>
      <t>O</t>
    </r>
    <r>
      <rPr>
        <b/>
        <vertAlign val="subscript"/>
        <sz val="8"/>
        <rFont val="Arial"/>
        <family val="2"/>
      </rPr>
      <t>VPDB</t>
    </r>
    <r>
      <rPr>
        <b/>
        <sz val="8"/>
        <rFont val="Arial"/>
        <family val="2"/>
      </rPr>
      <t>(gas)</t>
    </r>
  </si>
  <si>
    <r>
      <t>d</t>
    </r>
    <r>
      <rPr>
        <b/>
        <sz val="8"/>
        <rFont val="Arial"/>
        <family val="2"/>
      </rPr>
      <t>45</t>
    </r>
    <r>
      <rPr>
        <b/>
        <vertAlign val="subscript"/>
        <sz val="8"/>
        <rFont val="Arial"/>
        <family val="2"/>
      </rPr>
      <t>PDB</t>
    </r>
    <r>
      <rPr>
        <b/>
        <sz val="8"/>
        <rFont val="Arial"/>
        <family val="2"/>
      </rPr>
      <t xml:space="preserve"> (gas) =</t>
    </r>
  </si>
  <si>
    <r>
      <t>d</t>
    </r>
    <r>
      <rPr>
        <b/>
        <sz val="8"/>
        <rFont val="Arial"/>
        <family val="2"/>
      </rPr>
      <t>46</t>
    </r>
    <r>
      <rPr>
        <b/>
        <vertAlign val="subscript"/>
        <sz val="8"/>
        <rFont val="Arial"/>
        <family val="2"/>
      </rPr>
      <t>PDB</t>
    </r>
    <r>
      <rPr>
        <b/>
        <sz val="8"/>
        <rFont val="Arial"/>
        <family val="2"/>
      </rPr>
      <t xml:space="preserve"> (gas) =</t>
    </r>
  </si>
  <si>
    <t xml:space="preserve">                                                     Ratio Values from
Variables</t>
  </si>
  <si>
    <t>Werner&amp;Brand
(backscaled to Craig)</t>
  </si>
  <si>
    <t>Werner&amp;Brand
(original)</t>
  </si>
  <si>
    <r>
      <t>Lambda (='</t>
    </r>
    <r>
      <rPr>
        <b/>
        <sz val="8"/>
        <rFont val="Symbol"/>
        <family val="1"/>
      </rPr>
      <t>l</t>
    </r>
    <r>
      <rPr>
        <b/>
        <sz val="8"/>
        <rFont val="Arial"/>
        <family val="2"/>
      </rPr>
      <t>')</t>
    </r>
  </si>
  <si>
    <r>
      <t>K=17R/18R</t>
    </r>
    <r>
      <rPr>
        <b/>
        <vertAlign val="superscript"/>
        <sz val="8"/>
        <rFont val="Symbol"/>
        <family val="1"/>
      </rPr>
      <t>l</t>
    </r>
  </si>
  <si>
    <r>
      <t>Craig</t>
    </r>
    <r>
      <rPr>
        <b/>
        <sz val="8"/>
        <rFont val="Arial"/>
        <family val="2"/>
      </rPr>
      <t xml:space="preserve"> (including expansion quadratic term) </t>
    </r>
  </si>
  <si>
    <r>
      <t>R45=R13+2R17 = (</t>
    </r>
    <r>
      <rPr>
        <sz val="8"/>
        <rFont val="Symbol"/>
        <family val="1"/>
      </rPr>
      <t>d</t>
    </r>
    <r>
      <rPr>
        <sz val="8"/>
        <rFont val="Arial"/>
        <family val="2"/>
      </rPr>
      <t>45/1000+1)*R45(VPDB)</t>
    </r>
  </si>
  <si>
    <r>
      <t>1</t>
    </r>
    <r>
      <rPr>
        <b/>
        <vertAlign val="superscript"/>
        <sz val="8"/>
        <color indexed="48"/>
        <rFont val="Arial"/>
        <family val="2"/>
      </rPr>
      <t>st</t>
    </r>
    <r>
      <rPr>
        <b/>
        <sz val="8"/>
        <color indexed="48"/>
        <rFont val="Arial"/>
        <family val="2"/>
      </rPr>
      <t xml:space="preserve"> step:</t>
    </r>
    <r>
      <rPr>
        <b/>
        <sz val="8"/>
        <rFont val="Arial"/>
        <family val="2"/>
      </rPr>
      <t xml:space="preserve"> R18=R46/2</t>
    </r>
  </si>
  <si>
    <r>
      <t>2</t>
    </r>
    <r>
      <rPr>
        <b/>
        <vertAlign val="superscript"/>
        <sz val="8"/>
        <color indexed="48"/>
        <rFont val="Arial"/>
        <family val="2"/>
      </rPr>
      <t>nd</t>
    </r>
    <r>
      <rPr>
        <b/>
        <sz val="8"/>
        <color indexed="48"/>
        <rFont val="Arial"/>
        <family val="2"/>
      </rPr>
      <t xml:space="preserve"> step: </t>
    </r>
    <r>
      <rPr>
        <b/>
        <sz val="8"/>
        <rFont val="Arial"/>
        <family val="2"/>
      </rPr>
      <t>f(R18) =-3K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*R18</t>
    </r>
    <r>
      <rPr>
        <b/>
        <vertAlign val="superscript"/>
        <sz val="8"/>
        <rFont val="Arial"/>
        <family val="2"/>
      </rPr>
      <t>(2</t>
    </r>
    <r>
      <rPr>
        <b/>
        <vertAlign val="superscript"/>
        <sz val="8"/>
        <rFont val="Symbol"/>
        <family val="1"/>
      </rPr>
      <t>l)</t>
    </r>
    <r>
      <rPr>
        <b/>
        <sz val="8"/>
        <rFont val="Arial"/>
        <family val="2"/>
      </rPr>
      <t xml:space="preserve"> + 2KR45*R18</t>
    </r>
    <r>
      <rPr>
        <b/>
        <vertAlign val="superscript"/>
        <sz val="8"/>
        <rFont val="Symbol"/>
        <family val="1"/>
      </rPr>
      <t>l</t>
    </r>
    <r>
      <rPr>
        <b/>
        <sz val="8"/>
        <rFont val="Arial"/>
        <family val="2"/>
      </rPr>
      <t xml:space="preserve"> + 2R18-R46 </t>
    </r>
  </si>
  <si>
    <r>
      <t xml:space="preserve"> f'(R18) =-6K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*</t>
    </r>
    <r>
      <rPr>
        <b/>
        <sz val="8"/>
        <rFont val="Symbol"/>
        <family val="1"/>
      </rPr>
      <t>l</t>
    </r>
    <r>
      <rPr>
        <b/>
        <sz val="8"/>
        <rFont val="Arial"/>
        <family val="2"/>
      </rPr>
      <t>R18</t>
    </r>
    <r>
      <rPr>
        <b/>
        <vertAlign val="superscript"/>
        <sz val="8"/>
        <rFont val="Arial"/>
        <family val="2"/>
      </rPr>
      <t>(2</t>
    </r>
    <r>
      <rPr>
        <b/>
        <vertAlign val="superscript"/>
        <sz val="8"/>
        <rFont val="Symbol"/>
        <family val="1"/>
      </rPr>
      <t>l</t>
    </r>
    <r>
      <rPr>
        <b/>
        <vertAlign val="superscript"/>
        <sz val="8"/>
        <rFont val="Arial"/>
        <family val="2"/>
      </rPr>
      <t>-1)</t>
    </r>
    <r>
      <rPr>
        <b/>
        <sz val="8"/>
        <rFont val="Arial"/>
        <family val="2"/>
      </rPr>
      <t xml:space="preserve"> + 2KR45*</t>
    </r>
    <r>
      <rPr>
        <b/>
        <sz val="8"/>
        <rFont val="Symbol"/>
        <family val="1"/>
      </rPr>
      <t>l</t>
    </r>
    <r>
      <rPr>
        <b/>
        <sz val="8"/>
        <rFont val="Arial"/>
        <family val="2"/>
      </rPr>
      <t>R18</t>
    </r>
    <r>
      <rPr>
        <b/>
        <vertAlign val="superscript"/>
        <sz val="8"/>
        <rFont val="Symbol"/>
        <family val="1"/>
      </rPr>
      <t>l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 xml:space="preserve"> + 2 </t>
    </r>
  </si>
  <si>
    <r>
      <t>3</t>
    </r>
    <r>
      <rPr>
        <b/>
        <vertAlign val="superscript"/>
        <sz val="8"/>
        <color indexed="48"/>
        <rFont val="Arial"/>
        <family val="2"/>
      </rPr>
      <t>rd</t>
    </r>
    <r>
      <rPr>
        <b/>
        <sz val="8"/>
        <color indexed="48"/>
        <rFont val="Arial"/>
        <family val="2"/>
      </rPr>
      <t xml:space="preserve"> step:</t>
    </r>
    <r>
      <rPr>
        <b/>
        <sz val="8"/>
        <rFont val="Arial"/>
        <family val="2"/>
      </rPr>
      <t xml:space="preserve"> f(R18) =-3K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*R18</t>
    </r>
    <r>
      <rPr>
        <b/>
        <vertAlign val="superscript"/>
        <sz val="8"/>
        <rFont val="Arial"/>
        <family val="2"/>
      </rPr>
      <t>(2</t>
    </r>
    <r>
      <rPr>
        <b/>
        <vertAlign val="superscript"/>
        <sz val="8"/>
        <rFont val="Symbol"/>
        <family val="1"/>
      </rPr>
      <t>l</t>
    </r>
    <r>
      <rPr>
        <b/>
        <vertAlign val="superscript"/>
        <sz val="8"/>
        <rFont val="Arial"/>
        <family val="2"/>
      </rPr>
      <t>)</t>
    </r>
    <r>
      <rPr>
        <b/>
        <sz val="8"/>
        <rFont val="Arial"/>
        <family val="2"/>
      </rPr>
      <t xml:space="preserve"> + 2KR45R18</t>
    </r>
    <r>
      <rPr>
        <b/>
        <vertAlign val="superscript"/>
        <sz val="8"/>
        <rFont val="Symbol"/>
        <family val="1"/>
      </rPr>
      <t>l</t>
    </r>
    <r>
      <rPr>
        <b/>
        <sz val="8"/>
        <rFont val="Arial"/>
        <family val="2"/>
      </rPr>
      <t xml:space="preserve"> + 2R18-R46 </t>
    </r>
  </si>
  <si>
    <r>
      <t>R17=KR18</t>
    </r>
    <r>
      <rPr>
        <b/>
        <vertAlign val="superscript"/>
        <sz val="8"/>
        <rFont val="Symbol"/>
        <family val="1"/>
      </rPr>
      <t>l</t>
    </r>
  </si>
  <si>
    <r>
      <t>R13=R45-2K18R</t>
    </r>
    <r>
      <rPr>
        <b/>
        <vertAlign val="superscript"/>
        <sz val="8"/>
        <rFont val="Symbol"/>
        <family val="1"/>
      </rPr>
      <t>l</t>
    </r>
  </si>
  <si>
    <r>
      <t>d</t>
    </r>
    <r>
      <rPr>
        <b/>
        <vertAlign val="superscript"/>
        <sz val="8"/>
        <rFont val="Arial"/>
        <family val="2"/>
      </rPr>
      <t>13</t>
    </r>
    <r>
      <rPr>
        <b/>
        <sz val="8"/>
        <rFont val="Arial"/>
        <family val="2"/>
      </rPr>
      <t>C</t>
    </r>
    <r>
      <rPr>
        <b/>
        <vertAlign val="subscript"/>
        <sz val="8"/>
        <rFont val="Arial"/>
        <family val="2"/>
      </rPr>
      <t>vpdb</t>
    </r>
  </si>
  <si>
    <r>
      <t>d</t>
    </r>
    <r>
      <rPr>
        <b/>
        <vertAlign val="superscript"/>
        <sz val="8"/>
        <rFont val="Arial"/>
        <family val="2"/>
      </rPr>
      <t>18</t>
    </r>
    <r>
      <rPr>
        <b/>
        <sz val="8"/>
        <rFont val="Arial"/>
        <family val="2"/>
      </rPr>
      <t>O</t>
    </r>
    <r>
      <rPr>
        <b/>
        <vertAlign val="subscript"/>
        <sz val="8"/>
        <rFont val="Arial"/>
        <family val="2"/>
      </rPr>
      <t>vpdb</t>
    </r>
  </si>
  <si>
    <r>
      <t>R18=(</t>
    </r>
    <r>
      <rPr>
        <b/>
        <sz val="8"/>
        <rFont val="Symbol"/>
        <family val="1"/>
      </rPr>
      <t>d</t>
    </r>
    <r>
      <rPr>
        <b/>
        <sz val="8"/>
        <rFont val="Arial"/>
        <family val="2"/>
      </rPr>
      <t>18/1000+1)*R18(VPDB)</t>
    </r>
  </si>
  <si>
    <r>
      <t>d</t>
    </r>
    <r>
      <rPr>
        <b/>
        <sz val="8"/>
        <rFont val="Arial"/>
        <family val="2"/>
      </rPr>
      <t>17Sample=</t>
    </r>
    <r>
      <rPr>
        <b/>
        <sz val="8"/>
        <rFont val="Symbol"/>
        <family val="1"/>
      </rPr>
      <t>d</t>
    </r>
    <r>
      <rPr>
        <b/>
        <sz val="8"/>
        <rFont val="Arial"/>
        <family val="2"/>
      </rPr>
      <t>18Sample*</t>
    </r>
    <r>
      <rPr>
        <b/>
        <sz val="8"/>
        <rFont val="Symbol"/>
        <family val="1"/>
      </rPr>
      <t>l</t>
    </r>
  </si>
  <si>
    <t>2R17(Sa)</t>
  </si>
  <si>
    <r>
      <t>d</t>
    </r>
    <r>
      <rPr>
        <b/>
        <sz val="8"/>
        <rFont val="Arial"/>
        <family val="2"/>
      </rPr>
      <t>45(Sa)</t>
    </r>
  </si>
  <si>
    <r>
      <t>d</t>
    </r>
    <r>
      <rPr>
        <b/>
        <sz val="8"/>
        <rFont val="Arial"/>
        <family val="2"/>
      </rPr>
      <t>46(Sa)</t>
    </r>
  </si>
  <si>
    <t>Deviation between input and output
(corrected for 45 mismatch)</t>
  </si>
  <si>
    <r>
      <t>Craig</t>
    </r>
    <r>
      <rPr>
        <b/>
        <sz val="8"/>
        <rFont val="Arial"/>
        <family val="2"/>
      </rPr>
      <t xml:space="preserve"> approximation (Ratios):     (correct ratios)</t>
    </r>
  </si>
  <si>
    <r>
      <t>Craig</t>
    </r>
    <r>
      <rPr>
        <b/>
        <sz val="8"/>
        <rFont val="Arial"/>
        <family val="2"/>
      </rPr>
      <t xml:space="preserve"> approximation (factors)        (often used)</t>
    </r>
  </si>
  <si>
    <t>Santrock-Studley-Hayes:        (exact solution)</t>
  </si>
  <si>
    <r>
      <t>4</t>
    </r>
    <r>
      <rPr>
        <b/>
        <vertAlign val="superscript"/>
        <sz val="8"/>
        <color indexed="48"/>
        <rFont val="Arial"/>
        <family val="2"/>
      </rPr>
      <t>th</t>
    </r>
    <r>
      <rPr>
        <b/>
        <sz val="8"/>
        <color indexed="48"/>
        <rFont val="Arial"/>
        <family val="2"/>
      </rPr>
      <t>step:</t>
    </r>
    <r>
      <rPr>
        <b/>
        <sz val="8"/>
        <rFont val="Arial"/>
        <family val="2"/>
      </rPr>
      <t xml:space="preserve"> f(R18) =-3K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*R18</t>
    </r>
    <r>
      <rPr>
        <b/>
        <vertAlign val="superscript"/>
        <sz val="8"/>
        <rFont val="Arial"/>
        <family val="2"/>
      </rPr>
      <t>(2</t>
    </r>
    <r>
      <rPr>
        <b/>
        <vertAlign val="superscript"/>
        <sz val="8"/>
        <rFont val="Symbol"/>
        <family val="1"/>
      </rPr>
      <t>l</t>
    </r>
    <r>
      <rPr>
        <b/>
        <vertAlign val="superscript"/>
        <sz val="8"/>
        <rFont val="Arial"/>
        <family val="2"/>
      </rPr>
      <t>)</t>
    </r>
    <r>
      <rPr>
        <b/>
        <sz val="8"/>
        <rFont val="Arial"/>
        <family val="2"/>
      </rPr>
      <t xml:space="preserve"> + 2KR45R18</t>
    </r>
    <r>
      <rPr>
        <b/>
        <vertAlign val="superscript"/>
        <sz val="8"/>
        <rFont val="Symbol"/>
        <family val="1"/>
      </rPr>
      <t>l</t>
    </r>
    <r>
      <rPr>
        <b/>
        <sz val="8"/>
        <rFont val="Arial"/>
        <family val="2"/>
      </rPr>
      <t xml:space="preserve"> + 2R18-R46</t>
    </r>
  </si>
  <si>
    <r>
      <t>R46=(</t>
    </r>
    <r>
      <rPr>
        <sz val="8"/>
        <rFont val="Symbol"/>
        <family val="1"/>
      </rPr>
      <t>d</t>
    </r>
    <r>
      <rPr>
        <sz val="8"/>
        <rFont val="Arial"/>
        <family val="2"/>
      </rPr>
      <t>46/1000+1)*R46(vpdb)</t>
    </r>
  </si>
  <si>
    <t>R46=(d46/1000+1)*R46(vpdb)</t>
  </si>
  <si>
    <t>17R/13R</t>
  </si>
  <si>
    <t>del18(sa)=d46+D(d46-2d45)</t>
  </si>
  <si>
    <t>Werner&amp;Brand (backscaled to Craig)</t>
  </si>
  <si>
    <t>Results</t>
  </si>
  <si>
    <t>del 13C(vpdb)</t>
  </si>
  <si>
    <t>del 18O(vpdb)</t>
  </si>
  <si>
    <t>Q45</t>
  </si>
  <si>
    <t>Santrock et al, AnaChem 1985</t>
  </si>
  <si>
    <t>Table II</t>
  </si>
  <si>
    <t>Q46</t>
  </si>
  <si>
    <t>δ13C Santr</t>
  </si>
  <si>
    <t>no correlation</t>
  </si>
  <si>
    <t>δ13C BAC*</t>
  </si>
  <si>
    <t>*BAC = Brand, Assonov and Coplen, PAC 2010</t>
  </si>
  <si>
    <t>BAC*</t>
  </si>
  <si>
    <t>δ13C no correl</t>
  </si>
  <si>
    <t>Oulier (#4)</t>
  </si>
  <si>
    <t>http://www.bgc.mpg.de/service/iso_gas_lab/publications/17Ocorr_Brand_Assonov_Coplen_submitted_to_PAC.pdf</t>
  </si>
  <si>
    <t>d46#</t>
  </si>
  <si>
    <t># These values are rough approximations. They are obtained from the 46/44 ratios given and brought to the VPDB-CO2 scale by anchoring with the value for the gas prior to equilibration and subtracting 41 ‰ (which is sufficient for the purpose, as long as internal consistency is maintained).</t>
  </si>
  <si>
    <t>d45##</t>
  </si>
  <si>
    <t xml:space="preserve">## These data are only approximately. I have taken the 45/44 ratios and placed them in the right ballpark, so that the final 13C arrives at about the right values. While this will lead to different absolute 13C numbers, I am interested in the d46 dependence only, which remains internally consistent. </t>
  </si>
  <si>
    <t>Brand/Assonov/Coplen/ (linearized Assonov; PAC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</si>
</sst>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4" formatCode="0.00000000"/>
    <numFmt numFmtId="185" formatCode="0.000"/>
    <numFmt numFmtId="186" formatCode="0.0000"/>
    <numFmt numFmtId="187" formatCode="0.00000"/>
    <numFmt numFmtId="198" formatCode="0.000000E+00"/>
  </numFmts>
  <fonts count="33">
    <font>
      <sz val="10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7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Symbol"/>
      <family val="1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b/>
      <sz val="8"/>
      <color indexed="48"/>
      <name val="Arial"/>
      <family val="2"/>
    </font>
    <font>
      <b/>
      <sz val="6"/>
      <color indexed="48"/>
      <name val="Arial"/>
      <family val="2"/>
    </font>
    <font>
      <b/>
      <vertAlign val="superscript"/>
      <sz val="8"/>
      <name val="Symbol"/>
      <family val="1"/>
    </font>
    <font>
      <sz val="8"/>
      <name val="Symbol"/>
      <family val="1"/>
    </font>
    <font>
      <b/>
      <vertAlign val="superscript"/>
      <sz val="8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rgb="FF000000"/>
      <name val="Arial"/>
      <family val="2"/>
    </font>
    <font>
      <sz val="9.75"/>
      <color rgb="FF000000"/>
      <name val="Arial"/>
      <family val="2"/>
    </font>
    <font>
      <sz val="9.75"/>
      <color rgb="FF0000FF"/>
      <name val="Arial"/>
      <family val="2"/>
    </font>
    <font>
      <sz val="9.75"/>
      <color rgb="FFFF0000"/>
      <name val="Arial"/>
      <family val="2"/>
    </font>
    <font>
      <sz val="7.35"/>
      <color rgb="FF000000"/>
      <name val="Arial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double"/>
      <diagonal style="thin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double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142">
    <xf numFmtId="0" fontId="0" fillId="0" borderId="0" xfId="0"/>
    <xf numFmtId="184" fontId="0" fillId="0" borderId="0" xfId="0" applyNumberFormat="1" applyFont="1" applyAlignment="1">
      <alignment shrinkToFit="1"/>
    </xf>
    <xf numFmtId="184" fontId="0" fillId="0" borderId="0" xfId="0" applyNumberFormat="1" applyFont="1" applyAlignment="1">
      <alignment horizontal="center" shrinkToFit="1"/>
    </xf>
    <xf numFmtId="184" fontId="1" fillId="0" borderId="0" xfId="0" applyNumberFormat="1" applyFont="1" applyAlignment="1">
      <alignment shrinkToFit="1"/>
    </xf>
    <xf numFmtId="184" fontId="0" fillId="0" borderId="0" xfId="0" applyNumberFormat="1" applyFont="1" applyAlignment="1" quotePrefix="1">
      <alignment shrinkToFit="1"/>
    </xf>
    <xf numFmtId="184" fontId="0" fillId="0" borderId="0" xfId="0" applyNumberFormat="1" applyFont="1" applyAlignment="1">
      <alignment horizontal="left" shrinkToFit="1"/>
    </xf>
    <xf numFmtId="184" fontId="0" fillId="0" borderId="0" xfId="0" applyNumberFormat="1" applyFont="1" applyAlignment="1" quotePrefix="1">
      <alignment horizontal="center" shrinkToFit="1"/>
    </xf>
    <xf numFmtId="198" fontId="0" fillId="0" borderId="0" xfId="0" applyNumberFormat="1" applyFont="1" applyAlignment="1">
      <alignment shrinkToFit="1"/>
    </xf>
    <xf numFmtId="184" fontId="1" fillId="2" borderId="0" xfId="0" applyNumberFormat="1" applyFont="1" applyFill="1" applyAlignment="1">
      <alignment shrinkToFit="1"/>
    </xf>
    <xf numFmtId="184" fontId="0" fillId="0" borderId="1" xfId="0" applyNumberFormat="1" applyFont="1" applyFill="1" applyBorder="1" applyAlignment="1" quotePrefix="1">
      <alignment shrinkToFit="1"/>
    </xf>
    <xf numFmtId="184" fontId="0" fillId="0" borderId="1" xfId="0" applyNumberFormat="1" applyFont="1" applyFill="1" applyBorder="1" applyAlignment="1">
      <alignment shrinkToFit="1"/>
    </xf>
    <xf numFmtId="184" fontId="1" fillId="2" borderId="2" xfId="0" applyNumberFormat="1" applyFont="1" applyFill="1" applyBorder="1" applyAlignment="1">
      <alignment shrinkToFit="1"/>
    </xf>
    <xf numFmtId="184" fontId="1" fillId="2" borderId="1" xfId="0" applyNumberFormat="1" applyFont="1" applyFill="1" applyBorder="1" applyAlignment="1">
      <alignment shrinkToFit="1"/>
    </xf>
    <xf numFmtId="185" fontId="1" fillId="2" borderId="3" xfId="0" applyNumberFormat="1" applyFont="1" applyFill="1" applyBorder="1" applyAlignment="1">
      <alignment shrinkToFit="1"/>
    </xf>
    <xf numFmtId="185" fontId="1" fillId="2" borderId="4" xfId="0" applyNumberFormat="1" applyFont="1" applyFill="1" applyBorder="1" applyAlignment="1">
      <alignment shrinkToFit="1"/>
    </xf>
    <xf numFmtId="184" fontId="3" fillId="0" borderId="0" xfId="0" applyNumberFormat="1" applyFont="1" applyAlignment="1">
      <alignment horizontal="center" shrinkToFit="1"/>
    </xf>
    <xf numFmtId="184" fontId="6" fillId="0" borderId="5" xfId="0" applyNumberFormat="1" applyFont="1" applyBorder="1" applyAlignment="1">
      <alignment horizontal="center" vertical="top" wrapText="1"/>
    </xf>
    <xf numFmtId="184" fontId="6" fillId="0" borderId="0" xfId="0" applyNumberFormat="1" applyFont="1" applyAlignment="1">
      <alignment horizontal="center" vertical="top" wrapText="1"/>
    </xf>
    <xf numFmtId="184" fontId="5" fillId="0" borderId="0" xfId="0" applyNumberFormat="1" applyFont="1" applyAlignment="1">
      <alignment vertical="top" wrapText="1"/>
    </xf>
    <xf numFmtId="184" fontId="7" fillId="2" borderId="6" xfId="0" applyNumberFormat="1" applyFont="1" applyFill="1" applyBorder="1" applyAlignment="1">
      <alignment horizontal="right" vertical="center" wrapText="1"/>
    </xf>
    <xf numFmtId="185" fontId="6" fillId="3" borderId="7" xfId="0" applyNumberFormat="1" applyFont="1" applyFill="1" applyBorder="1" applyAlignment="1" applyProtection="1">
      <alignment vertical="center" wrapText="1"/>
      <protection locked="0"/>
    </xf>
    <xf numFmtId="184" fontId="7" fillId="4" borderId="6" xfId="0" applyNumberFormat="1" applyFont="1" applyFill="1" applyBorder="1" applyAlignment="1">
      <alignment horizontal="right" vertical="center" wrapText="1"/>
    </xf>
    <xf numFmtId="186" fontId="6" fillId="0" borderId="5" xfId="0" applyNumberFormat="1" applyFont="1" applyFill="1" applyBorder="1" applyAlignment="1">
      <alignment vertical="top" wrapText="1"/>
    </xf>
    <xf numFmtId="184" fontId="6" fillId="0" borderId="0" xfId="0" applyNumberFormat="1" applyFont="1" applyFill="1" applyBorder="1" applyAlignment="1">
      <alignment horizontal="center" vertical="top" wrapText="1"/>
    </xf>
    <xf numFmtId="186" fontId="6" fillId="0" borderId="0" xfId="0" applyNumberFormat="1" applyFont="1" applyFill="1" applyBorder="1" applyAlignment="1">
      <alignment vertical="top" wrapText="1"/>
    </xf>
    <xf numFmtId="184" fontId="5" fillId="0" borderId="8" xfId="0" applyNumberFormat="1" applyFont="1" applyBorder="1" applyAlignment="1">
      <alignment vertical="top" wrapText="1"/>
    </xf>
    <xf numFmtId="184" fontId="6" fillId="0" borderId="6" xfId="0" applyNumberFormat="1" applyFont="1" applyBorder="1" applyAlignment="1">
      <alignment vertical="top" wrapText="1"/>
    </xf>
    <xf numFmtId="184" fontId="10" fillId="0" borderId="9" xfId="0" applyNumberFormat="1" applyFont="1" applyFill="1" applyBorder="1" applyAlignment="1">
      <alignment horizontal="left" vertical="center" wrapText="1"/>
    </xf>
    <xf numFmtId="184" fontId="10" fillId="0" borderId="10" xfId="0" applyNumberFormat="1" applyFont="1" applyBorder="1" applyAlignment="1">
      <alignment horizontal="center" vertical="top" wrapText="1"/>
    </xf>
    <xf numFmtId="184" fontId="10" fillId="5" borderId="11" xfId="0" applyNumberFormat="1" applyFont="1" applyFill="1" applyBorder="1" applyAlignment="1">
      <alignment horizontal="center" vertical="top" wrapText="1"/>
    </xf>
    <xf numFmtId="184" fontId="10" fillId="5" borderId="12" xfId="0" applyNumberFormat="1" applyFont="1" applyFill="1" applyBorder="1" applyAlignment="1">
      <alignment horizontal="center" vertical="top" wrapText="1"/>
    </xf>
    <xf numFmtId="184" fontId="11" fillId="5" borderId="12" xfId="0" applyNumberFormat="1" applyFont="1" applyFill="1" applyBorder="1" applyAlignment="1">
      <alignment horizontal="center" vertical="top" wrapText="1"/>
    </xf>
    <xf numFmtId="184" fontId="10" fillId="0" borderId="0" xfId="0" applyNumberFormat="1" applyFont="1" applyAlignment="1">
      <alignment vertical="top" wrapText="1"/>
    </xf>
    <xf numFmtId="184" fontId="6" fillId="0" borderId="13" xfId="0" applyNumberFormat="1" applyFont="1" applyFill="1" applyBorder="1" applyAlignment="1">
      <alignment vertical="top" wrapText="1"/>
    </xf>
    <xf numFmtId="184" fontId="5" fillId="0" borderId="14" xfId="0" applyNumberFormat="1" applyFont="1" applyBorder="1" applyAlignment="1">
      <alignment vertical="top" wrapText="1"/>
    </xf>
    <xf numFmtId="184" fontId="5" fillId="5" borderId="15" xfId="0" applyNumberFormat="1" applyFont="1" applyFill="1" applyBorder="1" applyAlignment="1">
      <alignment vertical="top" wrapText="1"/>
    </xf>
    <xf numFmtId="184" fontId="5" fillId="5" borderId="13" xfId="0" applyNumberFormat="1" applyFont="1" applyFill="1" applyBorder="1" applyAlignment="1">
      <alignment vertical="top" wrapText="1"/>
    </xf>
    <xf numFmtId="184" fontId="6" fillId="0" borderId="6" xfId="0" applyNumberFormat="1" applyFont="1" applyFill="1" applyBorder="1" applyAlignment="1">
      <alignment vertical="top" wrapText="1"/>
    </xf>
    <xf numFmtId="184" fontId="5" fillId="0" borderId="7" xfId="0" applyNumberFormat="1" applyFont="1" applyBorder="1" applyAlignment="1">
      <alignment vertical="top" wrapText="1"/>
    </xf>
    <xf numFmtId="184" fontId="5" fillId="5" borderId="16" xfId="0" applyNumberFormat="1" applyFont="1" applyFill="1" applyBorder="1" applyAlignment="1">
      <alignment vertical="top" wrapText="1"/>
    </xf>
    <xf numFmtId="184" fontId="5" fillId="5" borderId="6" xfId="0" applyNumberFormat="1" applyFont="1" applyFill="1" applyBorder="1" applyAlignment="1">
      <alignment vertical="top" wrapText="1"/>
    </xf>
    <xf numFmtId="184" fontId="5" fillId="5" borderId="6" xfId="0" applyNumberFormat="1" applyFont="1" applyFill="1" applyBorder="1" applyAlignment="1">
      <alignment horizontal="center" vertical="top" wrapText="1"/>
    </xf>
    <xf numFmtId="184" fontId="6" fillId="0" borderId="7" xfId="0" applyNumberFormat="1" applyFont="1" applyBorder="1" applyAlignment="1">
      <alignment vertical="top" wrapText="1"/>
    </xf>
    <xf numFmtId="184" fontId="6" fillId="5" borderId="6" xfId="0" applyNumberFormat="1" applyFont="1" applyFill="1" applyBorder="1" applyAlignment="1">
      <alignment vertical="top" wrapText="1"/>
    </xf>
    <xf numFmtId="184" fontId="6" fillId="5" borderId="16" xfId="0" applyNumberFormat="1" applyFont="1" applyFill="1" applyBorder="1" applyAlignment="1">
      <alignment vertical="top" wrapText="1"/>
    </xf>
    <xf numFmtId="184" fontId="10" fillId="6" borderId="6" xfId="0" applyNumberFormat="1" applyFont="1" applyFill="1" applyBorder="1" applyAlignment="1">
      <alignment vertical="top" wrapText="1"/>
    </xf>
    <xf numFmtId="184" fontId="5" fillId="6" borderId="7" xfId="0" applyNumberFormat="1" applyFont="1" applyFill="1" applyBorder="1" applyAlignment="1">
      <alignment vertical="top" wrapText="1"/>
    </xf>
    <xf numFmtId="184" fontId="10" fillId="6" borderId="6" xfId="0" applyNumberFormat="1" applyFont="1" applyFill="1" applyBorder="1" applyAlignment="1">
      <alignment horizontal="left" vertical="top" wrapText="1"/>
    </xf>
    <xf numFmtId="184" fontId="5" fillId="0" borderId="6" xfId="0" applyNumberFormat="1" applyFont="1" applyFill="1" applyBorder="1" applyAlignment="1">
      <alignment vertical="top" wrapText="1"/>
    </xf>
    <xf numFmtId="184" fontId="10" fillId="0" borderId="6" xfId="0" applyNumberFormat="1" applyFont="1" applyFill="1" applyBorder="1" applyAlignment="1">
      <alignment horizontal="left" vertical="top" wrapText="1"/>
    </xf>
    <xf numFmtId="184" fontId="5" fillId="0" borderId="6" xfId="0" applyNumberFormat="1" applyFont="1" applyFill="1" applyBorder="1" applyAlignment="1" quotePrefix="1">
      <alignment horizontal="left" vertical="top" wrapText="1"/>
    </xf>
    <xf numFmtId="184" fontId="5" fillId="0" borderId="6" xfId="0" applyNumberFormat="1" applyFont="1" applyFill="1" applyBorder="1" applyAlignment="1">
      <alignment horizontal="left" vertical="top" wrapText="1"/>
    </xf>
    <xf numFmtId="184" fontId="10" fillId="0" borderId="6" xfId="0" applyNumberFormat="1" applyFont="1" applyFill="1" applyBorder="1" applyAlignment="1">
      <alignment vertical="top" wrapText="1"/>
    </xf>
    <xf numFmtId="198" fontId="5" fillId="6" borderId="7" xfId="0" applyNumberFormat="1" applyFont="1" applyFill="1" applyBorder="1" applyAlignment="1">
      <alignment vertical="top" wrapText="1"/>
    </xf>
    <xf numFmtId="198" fontId="5" fillId="5" borderId="6" xfId="0" applyNumberFormat="1" applyFont="1" applyFill="1" applyBorder="1" applyAlignment="1">
      <alignment vertical="top" wrapText="1"/>
    </xf>
    <xf numFmtId="184" fontId="6" fillId="6" borderId="6" xfId="0" applyNumberFormat="1" applyFont="1" applyFill="1" applyBorder="1" applyAlignment="1">
      <alignment horizontal="left" vertical="top" wrapText="1"/>
    </xf>
    <xf numFmtId="184" fontId="6" fillId="6" borderId="6" xfId="0" applyNumberFormat="1" applyFont="1" applyFill="1" applyBorder="1" applyAlignment="1">
      <alignment vertical="top" wrapText="1"/>
    </xf>
    <xf numFmtId="184" fontId="6" fillId="6" borderId="6" xfId="0" applyNumberFormat="1" applyFont="1" applyFill="1" applyBorder="1" applyAlignment="1" quotePrefix="1">
      <alignment vertical="top" wrapText="1"/>
    </xf>
    <xf numFmtId="184" fontId="5" fillId="6" borderId="7" xfId="0" applyNumberFormat="1" applyFont="1" applyFill="1" applyBorder="1" applyAlignment="1" quotePrefix="1">
      <alignment vertical="top" wrapText="1"/>
    </xf>
    <xf numFmtId="184" fontId="5" fillId="5" borderId="6" xfId="0" applyNumberFormat="1" applyFont="1" applyFill="1" applyBorder="1" applyAlignment="1" quotePrefix="1">
      <alignment vertical="top" wrapText="1"/>
    </xf>
    <xf numFmtId="184" fontId="7" fillId="0" borderId="6" xfId="0" applyNumberFormat="1" applyFont="1" applyFill="1" applyBorder="1" applyAlignment="1">
      <alignment vertical="top" wrapText="1"/>
    </xf>
    <xf numFmtId="186" fontId="6" fillId="0" borderId="7" xfId="0" applyNumberFormat="1" applyFont="1" applyFill="1" applyBorder="1" applyAlignment="1">
      <alignment vertical="top" wrapText="1"/>
    </xf>
    <xf numFmtId="186" fontId="6" fillId="5" borderId="16" xfId="0" applyNumberFormat="1" applyFont="1" applyFill="1" applyBorder="1" applyAlignment="1">
      <alignment vertical="top" wrapText="1"/>
    </xf>
    <xf numFmtId="186" fontId="6" fillId="5" borderId="6" xfId="0" applyNumberFormat="1" applyFont="1" applyFill="1" applyBorder="1" applyAlignment="1">
      <alignment vertical="top" wrapText="1"/>
    </xf>
    <xf numFmtId="184" fontId="6" fillId="0" borderId="0" xfId="0" applyNumberFormat="1" applyFont="1" applyAlignment="1">
      <alignment vertical="top" wrapText="1"/>
    </xf>
    <xf numFmtId="186" fontId="6" fillId="0" borderId="7" xfId="0" applyNumberFormat="1" applyFont="1" applyBorder="1" applyAlignment="1">
      <alignment vertical="top" wrapText="1"/>
    </xf>
    <xf numFmtId="186" fontId="5" fillId="5" borderId="16" xfId="0" applyNumberFormat="1" applyFont="1" applyFill="1" applyBorder="1" applyAlignment="1">
      <alignment vertical="top" wrapText="1"/>
    </xf>
    <xf numFmtId="186" fontId="5" fillId="5" borderId="6" xfId="0" applyNumberFormat="1" applyFont="1" applyFill="1" applyBorder="1" applyAlignment="1">
      <alignment vertical="top" wrapText="1"/>
    </xf>
    <xf numFmtId="184" fontId="5" fillId="0" borderId="6" xfId="0" applyNumberFormat="1" applyFont="1" applyFill="1" applyBorder="1" applyAlignment="1" quotePrefix="1">
      <alignment vertical="top" wrapText="1"/>
    </xf>
    <xf numFmtId="184" fontId="5" fillId="0" borderId="7" xfId="0" applyNumberFormat="1" applyFont="1" applyFill="1" applyBorder="1" applyAlignment="1">
      <alignment vertical="top" wrapText="1"/>
    </xf>
    <xf numFmtId="184" fontId="5" fillId="0" borderId="1" xfId="0" applyNumberFormat="1" applyFont="1" applyFill="1" applyBorder="1" applyAlignment="1">
      <alignment vertical="top" wrapText="1"/>
    </xf>
    <xf numFmtId="184" fontId="7" fillId="2" borderId="6" xfId="0" applyNumberFormat="1" applyFont="1" applyFill="1" applyBorder="1" applyAlignment="1">
      <alignment vertical="top" wrapText="1"/>
    </xf>
    <xf numFmtId="184" fontId="5" fillId="2" borderId="7" xfId="0" applyNumberFormat="1" applyFont="1" applyFill="1" applyBorder="1" applyAlignment="1">
      <alignment vertical="top" wrapText="1"/>
    </xf>
    <xf numFmtId="184" fontId="6" fillId="2" borderId="6" xfId="0" applyNumberFormat="1" applyFont="1" applyFill="1" applyBorder="1" applyAlignment="1">
      <alignment vertical="top" wrapText="1"/>
    </xf>
    <xf numFmtId="184" fontId="5" fillId="0" borderId="0" xfId="0" applyNumberFormat="1" applyFont="1" applyFill="1" applyAlignment="1">
      <alignment vertical="top" wrapText="1"/>
    </xf>
    <xf numFmtId="184" fontId="5" fillId="0" borderId="5" xfId="0" applyNumberFormat="1" applyFont="1" applyBorder="1" applyAlignment="1">
      <alignment vertical="top" wrapText="1"/>
    </xf>
    <xf numFmtId="184" fontId="5" fillId="0" borderId="0" xfId="0" applyNumberFormat="1" applyFont="1" applyAlignment="1">
      <alignment horizontal="left"/>
    </xf>
    <xf numFmtId="184" fontId="0" fillId="0" borderId="0" xfId="0" applyNumberFormat="1" applyFont="1" applyAlignment="1">
      <alignment/>
    </xf>
    <xf numFmtId="184" fontId="17" fillId="7" borderId="12" xfId="0" applyNumberFormat="1" applyFont="1" applyFill="1" applyBorder="1" applyAlignment="1">
      <alignment horizontal="center" vertical="top" wrapText="1"/>
    </xf>
    <xf numFmtId="184" fontId="18" fillId="7" borderId="13" xfId="0" applyNumberFormat="1" applyFont="1" applyFill="1" applyBorder="1" applyAlignment="1">
      <alignment vertical="top" wrapText="1"/>
    </xf>
    <xf numFmtId="184" fontId="18" fillId="7" borderId="6" xfId="0" applyNumberFormat="1" applyFont="1" applyFill="1" applyBorder="1" applyAlignment="1">
      <alignment vertical="top" wrapText="1"/>
    </xf>
    <xf numFmtId="184" fontId="17" fillId="7" borderId="6" xfId="0" applyNumberFormat="1" applyFont="1" applyFill="1" applyBorder="1" applyAlignment="1">
      <alignment vertical="top" wrapText="1"/>
    </xf>
    <xf numFmtId="198" fontId="18" fillId="7" borderId="6" xfId="0" applyNumberFormat="1" applyFont="1" applyFill="1" applyBorder="1" applyAlignment="1">
      <alignment vertical="top" wrapText="1"/>
    </xf>
    <xf numFmtId="184" fontId="18" fillId="7" borderId="6" xfId="0" applyNumberFormat="1" applyFont="1" applyFill="1" applyBorder="1" applyAlignment="1" quotePrefix="1">
      <alignment vertical="top" wrapText="1"/>
    </xf>
    <xf numFmtId="186" fontId="17" fillId="7" borderId="6" xfId="0" applyNumberFormat="1" applyFont="1" applyFill="1" applyBorder="1" applyAlignment="1">
      <alignment vertical="top" wrapText="1"/>
    </xf>
    <xf numFmtId="186" fontId="17" fillId="7" borderId="7" xfId="0" applyNumberFormat="1" applyFont="1" applyFill="1" applyBorder="1" applyAlignment="1" applyProtection="1">
      <alignment vertical="center" wrapText="1"/>
      <protection locked="0"/>
    </xf>
    <xf numFmtId="184" fontId="0" fillId="7" borderId="0" xfId="0" applyNumberFormat="1" applyFont="1" applyFill="1" applyAlignment="1">
      <alignment shrinkToFit="1"/>
    </xf>
    <xf numFmtId="184" fontId="15" fillId="8" borderId="0" xfId="0" applyNumberFormat="1" applyFont="1" applyFill="1" applyAlignment="1">
      <alignment shrinkToFit="1"/>
    </xf>
    <xf numFmtId="184" fontId="16" fillId="8" borderId="0" xfId="0" applyNumberFormat="1" applyFont="1" applyFill="1" applyAlignment="1">
      <alignment shrinkToFit="1"/>
    </xf>
    <xf numFmtId="198" fontId="15" fillId="8" borderId="0" xfId="0" applyNumberFormat="1" applyFont="1" applyFill="1" applyAlignment="1">
      <alignment shrinkToFit="1"/>
    </xf>
    <xf numFmtId="184" fontId="15" fillId="8" borderId="0" xfId="0" applyNumberFormat="1" applyFont="1" applyFill="1" applyAlignment="1" quotePrefix="1">
      <alignment shrinkToFit="1"/>
    </xf>
    <xf numFmtId="184" fontId="15" fillId="8" borderId="1" xfId="0" applyNumberFormat="1" applyFont="1" applyFill="1" applyBorder="1" applyAlignment="1">
      <alignment shrinkToFit="1"/>
    </xf>
    <xf numFmtId="184" fontId="0" fillId="8" borderId="3" xfId="0" applyNumberFormat="1" applyFont="1" applyFill="1" applyBorder="1" applyAlignment="1">
      <alignment horizontal="center" shrinkToFit="1"/>
    </xf>
    <xf numFmtId="184" fontId="5" fillId="0" borderId="0" xfId="0" applyNumberFormat="1" applyFont="1" applyAlignment="1">
      <alignment wrapText="1" shrinkToFit="1"/>
    </xf>
    <xf numFmtId="185" fontId="1" fillId="2" borderId="0" xfId="0" applyNumberFormat="1" applyFont="1" applyFill="1" applyAlignment="1">
      <alignment shrinkToFit="1"/>
    </xf>
    <xf numFmtId="185" fontId="16" fillId="8" borderId="0" xfId="0" applyNumberFormat="1" applyFont="1" applyFill="1" applyAlignment="1">
      <alignment shrinkToFit="1"/>
    </xf>
    <xf numFmtId="185" fontId="0" fillId="2" borderId="0" xfId="0" applyNumberFormat="1" applyFont="1" applyFill="1" applyAlignment="1">
      <alignment shrinkToFit="1"/>
    </xf>
    <xf numFmtId="184" fontId="3" fillId="0" borderId="0" xfId="0" applyNumberFormat="1" applyFont="1" applyBorder="1" applyAlignment="1">
      <alignment horizontal="center" shrinkToFit="1"/>
    </xf>
    <xf numFmtId="184" fontId="0" fillId="0" borderId="0" xfId="0" applyNumberFormat="1" applyFont="1" applyBorder="1" applyAlignment="1">
      <alignment shrinkToFit="1"/>
    </xf>
    <xf numFmtId="184" fontId="5" fillId="5" borderId="17" xfId="0" applyNumberFormat="1" applyFont="1" applyFill="1" applyBorder="1" applyAlignment="1">
      <alignment wrapText="1" shrinkToFit="1"/>
    </xf>
    <xf numFmtId="184" fontId="6" fillId="5" borderId="17" xfId="0" applyNumberFormat="1" applyFont="1" applyFill="1" applyBorder="1" applyAlignment="1">
      <alignment horizontal="center" wrapText="1" shrinkToFit="1"/>
    </xf>
    <xf numFmtId="184" fontId="5" fillId="5" borderId="17" xfId="0" applyNumberFormat="1" applyFont="1" applyFill="1" applyBorder="1" applyAlignment="1">
      <alignment horizontal="center" wrapText="1" shrinkToFit="1"/>
    </xf>
    <xf numFmtId="184" fontId="17" fillId="8" borderId="17" xfId="0" applyNumberFormat="1" applyFont="1" applyFill="1" applyBorder="1" applyAlignment="1">
      <alignment horizontal="center" wrapText="1" shrinkToFit="1"/>
    </xf>
    <xf numFmtId="184" fontId="6" fillId="5" borderId="17" xfId="0" applyNumberFormat="1" applyFont="1" applyFill="1" applyBorder="1" applyAlignment="1">
      <alignment wrapText="1" shrinkToFit="1"/>
    </xf>
    <xf numFmtId="184" fontId="1" fillId="8" borderId="18" xfId="0" applyNumberFormat="1" applyFont="1" applyFill="1" applyBorder="1" applyAlignment="1">
      <alignment shrinkToFit="1"/>
    </xf>
    <xf numFmtId="184" fontId="1" fillId="8" borderId="19" xfId="0" applyNumberFormat="1" applyFont="1" applyFill="1" applyBorder="1" applyAlignment="1">
      <alignment horizontal="center" shrinkToFit="1"/>
    </xf>
    <xf numFmtId="186" fontId="1" fillId="8" borderId="20" xfId="0" applyNumberFormat="1" applyFont="1" applyFill="1" applyBorder="1" applyAlignment="1">
      <alignment shrinkToFit="1"/>
    </xf>
    <xf numFmtId="184" fontId="1" fillId="8" borderId="14" xfId="0" applyNumberFormat="1" applyFont="1" applyFill="1" applyBorder="1" applyAlignment="1">
      <alignment horizontal="center" shrinkToFit="1"/>
    </xf>
    <xf numFmtId="185" fontId="16" fillId="8" borderId="20" xfId="0" applyNumberFormat="1" applyFont="1" applyFill="1" applyBorder="1" applyAlignment="1">
      <alignment shrinkToFit="1"/>
    </xf>
    <xf numFmtId="185" fontId="16" fillId="8" borderId="4" xfId="0" applyNumberFormat="1" applyFont="1" applyFill="1" applyBorder="1" applyAlignment="1">
      <alignment shrinkToFit="1"/>
    </xf>
    <xf numFmtId="187" fontId="0" fillId="0" borderId="0" xfId="0" applyNumberFormat="1"/>
    <xf numFmtId="0" fontId="1" fillId="0" borderId="0" xfId="0" applyFont="1"/>
    <xf numFmtId="0" fontId="15" fillId="0" borderId="0" xfId="0" applyFont="1"/>
    <xf numFmtId="184" fontId="15" fillId="0" borderId="0" xfId="0" applyNumberFormat="1" applyFont="1" applyAlignment="1">
      <alignment shrinkToFit="1"/>
    </xf>
    <xf numFmtId="0" fontId="21" fillId="0" borderId="0" xfId="0" applyFont="1"/>
    <xf numFmtId="184" fontId="21" fillId="0" borderId="0" xfId="0" applyNumberFormat="1" applyFont="1" applyAlignment="1">
      <alignment shrinkToFit="1"/>
    </xf>
    <xf numFmtId="0" fontId="22" fillId="0" borderId="0" xfId="0" applyFont="1"/>
    <xf numFmtId="0" fontId="16" fillId="0" borderId="0" xfId="0" applyFont="1"/>
    <xf numFmtId="187" fontId="1" fillId="0" borderId="0" xfId="0" applyNumberFormat="1" applyFont="1"/>
    <xf numFmtId="184" fontId="16" fillId="0" borderId="0" xfId="0" applyNumberFormat="1" applyFont="1" applyAlignment="1">
      <alignment shrinkToFit="1"/>
    </xf>
    <xf numFmtId="184" fontId="22" fillId="0" borderId="0" xfId="0" applyNumberFormat="1" applyFont="1" applyAlignment="1">
      <alignment shrinkToFit="1"/>
    </xf>
    <xf numFmtId="0" fontId="20" fillId="0" borderId="0" xfId="20" applyAlignment="1" applyProtection="1">
      <alignment/>
      <protection/>
    </xf>
    <xf numFmtId="0" fontId="1" fillId="2" borderId="0" xfId="0" applyFont="1" applyFill="1"/>
    <xf numFmtId="0" fontId="23" fillId="0" borderId="0" xfId="0" applyFont="1"/>
    <xf numFmtId="0" fontId="21" fillId="0" borderId="0" xfId="0" applyFont="1"/>
    <xf numFmtId="184" fontId="2" fillId="0" borderId="0" xfId="0" applyNumberFormat="1" applyFont="1" applyAlignment="1">
      <alignment horizontal="center" shrinkToFit="1"/>
    </xf>
    <xf numFmtId="184" fontId="0" fillId="0" borderId="0" xfId="0" applyNumberFormat="1" applyFont="1" applyAlignment="1" quotePrefix="1">
      <alignment horizontal="left" shrinkToFit="1"/>
    </xf>
    <xf numFmtId="184" fontId="0" fillId="0" borderId="0" xfId="0" applyNumberFormat="1" applyFont="1" applyAlignment="1">
      <alignment horizontal="left" shrinkToFit="1"/>
    </xf>
    <xf numFmtId="184" fontId="4" fillId="2" borderId="18" xfId="0" applyNumberFormat="1" applyFont="1" applyFill="1" applyBorder="1" applyAlignment="1">
      <alignment horizontal="center" shrinkToFit="1"/>
    </xf>
    <xf numFmtId="184" fontId="4" fillId="2" borderId="14" xfId="0" applyNumberFormat="1" applyFont="1" applyFill="1" applyBorder="1" applyAlignment="1">
      <alignment horizontal="center" shrinkToFit="1"/>
    </xf>
    <xf numFmtId="184" fontId="1" fillId="5" borderId="18" xfId="0" applyNumberFormat="1" applyFont="1" applyFill="1" applyBorder="1" applyAlignment="1">
      <alignment horizontal="center" vertical="center" shrinkToFit="1"/>
    </xf>
    <xf numFmtId="184" fontId="1" fillId="5" borderId="2" xfId="0" applyNumberFormat="1" applyFont="1" applyFill="1" applyBorder="1" applyAlignment="1">
      <alignment horizontal="center" vertical="center" shrinkToFit="1"/>
    </xf>
    <xf numFmtId="184" fontId="1" fillId="5" borderId="3" xfId="0" applyNumberFormat="1" applyFont="1" applyFill="1" applyBorder="1" applyAlignment="1">
      <alignment horizontal="center" vertical="center" shrinkToFit="1"/>
    </xf>
    <xf numFmtId="184" fontId="1" fillId="5" borderId="19" xfId="0" applyNumberFormat="1" applyFont="1" applyFill="1" applyBorder="1" applyAlignment="1">
      <alignment horizontal="center" vertical="center" shrinkToFit="1"/>
    </xf>
    <xf numFmtId="184" fontId="1" fillId="5" borderId="0" xfId="0" applyNumberFormat="1" applyFont="1" applyFill="1" applyBorder="1" applyAlignment="1">
      <alignment horizontal="center" vertical="center" shrinkToFit="1"/>
    </xf>
    <xf numFmtId="184" fontId="1" fillId="5" borderId="20" xfId="0" applyNumberFormat="1" applyFont="1" applyFill="1" applyBorder="1" applyAlignment="1">
      <alignment horizontal="center" vertical="center" shrinkToFit="1"/>
    </xf>
    <xf numFmtId="184" fontId="1" fillId="5" borderId="14" xfId="0" applyNumberFormat="1" applyFont="1" applyFill="1" applyBorder="1" applyAlignment="1">
      <alignment horizontal="center" vertical="center" shrinkToFit="1"/>
    </xf>
    <xf numFmtId="184" fontId="1" fillId="5" borderId="1" xfId="0" applyNumberFormat="1" applyFont="1" applyFill="1" applyBorder="1" applyAlignment="1">
      <alignment horizontal="center" vertical="center" shrinkToFit="1"/>
    </xf>
    <xf numFmtId="184" fontId="1" fillId="5" borderId="4" xfId="0" applyNumberFormat="1" applyFont="1" applyFill="1" applyBorder="1" applyAlignment="1">
      <alignment horizontal="center" vertical="center" shrinkToFit="1"/>
    </xf>
    <xf numFmtId="184" fontId="19" fillId="2" borderId="0" xfId="0" applyNumberFormat="1" applyFont="1" applyFill="1" applyAlignment="1">
      <alignment horizontal="center" shrinkToFit="1"/>
    </xf>
    <xf numFmtId="184" fontId="6" fillId="2" borderId="21" xfId="0" applyNumberFormat="1" applyFont="1" applyFill="1" applyBorder="1" applyAlignment="1">
      <alignment horizontal="center" vertical="top" wrapText="1"/>
    </xf>
    <xf numFmtId="184" fontId="6" fillId="2" borderId="22" xfId="0" applyNumberFormat="1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Santrock 17O corr data 
(without outlier #4)</a:t>
            </a:r>
          </a:p>
        </c:rich>
      </c:tx>
      <c:layout>
        <c:manualLayout>
          <c:xMode val="edge"/>
          <c:yMode val="edge"/>
          <c:x val="0.37"/>
          <c:y val="0.030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475"/>
          <c:y val="0.143"/>
          <c:w val="0.645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v>δ13C BAC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dispEq val="1"/>
            <c:dispRSqr val="0"/>
            <c:trendlineLbl>
              <c:layout>
                <c:manualLayout>
                  <c:xMode val="edge"/>
                  <c:yMode val="edge"/>
                  <c:x val="0.4375"/>
                  <c:y val="0.41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'Santrock data'!$D$11:$D$25</c:f>
              <c:numCache/>
            </c:numRef>
          </c:xVal>
          <c:yVal>
            <c:numRef>
              <c:f>'Santrock data'!$F$11:$F$25</c:f>
              <c:numCache/>
            </c:numRef>
          </c:yVal>
          <c:smooth val="0"/>
        </c:ser>
        <c:ser>
          <c:idx val="2"/>
          <c:order val="1"/>
          <c:tx>
            <c:v>δ13C no correlation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Eq val="1"/>
            <c:dispRSqr val="0"/>
            <c:trendlineLbl>
              <c:layout>
                <c:manualLayout>
                  <c:xMode val="edge"/>
                  <c:yMode val="edge"/>
                  <c:x val="0.59825"/>
                  <c:y val="0.48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'Santrock data'!$D$11:$D$25</c:f>
              <c:numCache/>
            </c:numRef>
          </c:xVal>
          <c:yVal>
            <c:numRef>
              <c:f>'Santrock data'!$I$11:$I$25</c:f>
              <c:numCache/>
            </c:numRef>
          </c:yVal>
          <c:smooth val="0"/>
        </c:ser>
        <c:axId val="54923015"/>
        <c:axId val="24545088"/>
      </c:scatterChart>
      <c:scatterChart>
        <c:scatterStyle val="lineMarker"/>
        <c:varyColors val="0"/>
        <c:ser>
          <c:idx val="1"/>
          <c:order val="2"/>
          <c:tx>
            <c:v>δ13C outlier corr Santrock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0000"/>
                </a:solidFill>
                <a:prstDash val="lgDash"/>
              </a:ln>
            </c:spPr>
            <c:trendlineType val="linear"/>
            <c:dispEq val="1"/>
            <c:dispRSqr val="0"/>
            <c:trendlineLbl>
              <c:layout>
                <c:manualLayout>
                  <c:xMode val="edge"/>
                  <c:yMode val="edge"/>
                  <c:x val="0.432"/>
                  <c:y val="0.58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'Santrock data'!$D$11:$D$25</c:f>
              <c:numCache/>
            </c:numRef>
          </c:xVal>
          <c:yVal>
            <c:numRef>
              <c:f>'Santrock data'!$H$11:$H$25</c:f>
              <c:numCache/>
            </c:numRef>
          </c:yVal>
          <c:smooth val="0"/>
        </c:ser>
        <c:axId val="19579201"/>
        <c:axId val="41995082"/>
      </c:scatterChart>
      <c:valAx>
        <c:axId val="549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d46</a:t>
                </a:r>
              </a:p>
            </c:rich>
          </c:tx>
          <c:layout>
            <c:manualLayout>
              <c:xMode val="edge"/>
              <c:yMode val="edge"/>
              <c:x val="0.47325"/>
              <c:y val="0.933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45088"/>
        <c:crossesAt val="-10000"/>
        <c:crossBetween val="midCat"/>
        <c:dispUnits/>
        <c:majorUnit val="0.05"/>
        <c:minorUnit val="0.01"/>
      </c:valAx>
      <c:valAx>
        <c:axId val="24545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d13C (BAC)</a:t>
                </a:r>
              </a:p>
            </c:rich>
          </c:tx>
          <c:layout>
            <c:manualLayout>
              <c:xMode val="edge"/>
              <c:yMode val="edge"/>
              <c:x val="0.033"/>
              <c:y val="0.45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23015"/>
        <c:crossesAt val="-100"/>
        <c:crossBetween val="midCat"/>
        <c:dispUnits/>
      </c:valAx>
      <c:valAx>
        <c:axId val="19579201"/>
        <c:scaling>
          <c:orientation val="minMax"/>
        </c:scaling>
        <c:axPos val="b"/>
        <c:delete val="1"/>
        <c:majorTickMark val="out"/>
        <c:minorTickMark val="none"/>
        <c:tickLblPos val="nextTo"/>
        <c:crossAx val="41995082"/>
        <c:crosses val="max"/>
        <c:crossBetween val="midCat"/>
        <c:dispUnits/>
      </c:valAx>
      <c:valAx>
        <c:axId val="419950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920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75"/>
          <c:y val="0.74575"/>
          <c:w val="0.2572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Santrock 17O corr data 
(incl outlier #4)</a:t>
            </a:r>
          </a:p>
        </c:rich>
      </c:tx>
      <c:layout>
        <c:manualLayout>
          <c:xMode val="edge"/>
          <c:yMode val="edge"/>
          <c:x val="0.37"/>
          <c:y val="0.030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"/>
          <c:y val="0.14"/>
          <c:w val="0.69325"/>
          <c:h val="0.75325"/>
        </c:manualLayout>
      </c:layout>
      <c:scatterChart>
        <c:scatterStyle val="lineMarker"/>
        <c:varyColors val="0"/>
        <c:ser>
          <c:idx val="0"/>
          <c:order val="0"/>
          <c:tx>
            <c:v>δ13C BAC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'Santrock data'!$D$11:$D$27</c:f>
              <c:numCache/>
            </c:numRef>
          </c:xVal>
          <c:yVal>
            <c:numRef>
              <c:f>'Santrock data'!$F$11:$F$27</c:f>
              <c:numCache/>
            </c:numRef>
          </c:yVal>
          <c:smooth val="0"/>
        </c:ser>
        <c:ser>
          <c:idx val="2"/>
          <c:order val="1"/>
          <c:tx>
            <c:v>δ13C no correlation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'Santrock data'!$D$11:$D$27</c:f>
              <c:numCache/>
            </c:numRef>
          </c:xVal>
          <c:yVal>
            <c:numRef>
              <c:f>'Santrock data'!$I$11:$I$27</c:f>
              <c:numCache/>
            </c:numRef>
          </c:yVal>
          <c:smooth val="0"/>
        </c:ser>
        <c:axId val="42411419"/>
        <c:axId val="46158452"/>
      </c:scatterChart>
      <c:scatterChart>
        <c:scatterStyle val="lineMarker"/>
        <c:varyColors val="0"/>
        <c:ser>
          <c:idx val="1"/>
          <c:order val="2"/>
          <c:tx>
            <c:v>"δ13C Santrock incl outlier"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0000"/>
                </a:solidFill>
                <a:prstDash val="lgDash"/>
              </a:ln>
            </c:spPr>
            <c:trendlineType val="linear"/>
            <c:dispEq val="1"/>
            <c:dispRSqr val="0"/>
            <c:trendlineLbl>
              <c:layout>
                <c:manualLayout>
                  <c:xMode val="edge"/>
                  <c:yMode val="edge"/>
                  <c:x val="0.45125"/>
                  <c:y val="0.4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'Santrock data'!$D$11:$D$27</c:f>
              <c:numCache/>
            </c:numRef>
          </c:xVal>
          <c:yVal>
            <c:numRef>
              <c:f>'Santrock data'!$H$11:$H$27</c:f>
              <c:numCache/>
            </c:numRef>
          </c:yVal>
          <c:smooth val="0"/>
        </c:ser>
        <c:axId val="12772885"/>
        <c:axId val="47847102"/>
      </c:scatterChart>
      <c:valAx>
        <c:axId val="42411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d46</a:t>
                </a:r>
              </a:p>
            </c:rich>
          </c:tx>
          <c:layout>
            <c:manualLayout>
              <c:xMode val="edge"/>
              <c:yMode val="edge"/>
              <c:x val="0.47875"/>
              <c:y val="0.938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158452"/>
        <c:crossesAt val="-10000"/>
        <c:crossBetween val="midCat"/>
        <c:dispUnits/>
        <c:majorUnit val="0.05"/>
        <c:minorUnit val="0.01"/>
      </c:valAx>
      <c:valAx>
        <c:axId val="46158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d13C (BAC)</a:t>
                </a:r>
              </a:p>
            </c:rich>
          </c:tx>
          <c:layout>
            <c:manualLayout>
              <c:xMode val="edge"/>
              <c:yMode val="edge"/>
              <c:x val="0.033"/>
              <c:y val="0.463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411419"/>
        <c:crossesAt val="-100"/>
        <c:crossBetween val="midCat"/>
        <c:dispUnits/>
      </c:valAx>
      <c:valAx>
        <c:axId val="12772885"/>
        <c:scaling>
          <c:orientation val="minMax"/>
        </c:scaling>
        <c:axPos val="b"/>
        <c:delete val="1"/>
        <c:majorTickMark val="out"/>
        <c:minorTickMark val="none"/>
        <c:tickLblPos val="nextTo"/>
        <c:crossAx val="47847102"/>
        <c:crosses val="max"/>
        <c:crossBetween val="midCat"/>
        <c:dispUnits/>
      </c:valAx>
      <c:valAx>
        <c:axId val="478471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77288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15"/>
          <c:y val="0.72725"/>
          <c:w val="0.2545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485775</xdr:colOff>
      <xdr:row>1</xdr:row>
      <xdr:rowOff>57150</xdr:rowOff>
    </xdr:from>
    <xdr:ext cx="4695825" cy="342900"/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4124325" y="628650"/>
          <a:ext cx="4695825" cy="342900"/>
        </a:xfrm>
        <a:prstGeom prst="rect">
          <a:avLst/>
        </a:prstGeom>
        <a:solidFill>
          <a:srgbClr val="CC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values are examples for NBS-19 Put in your own test values here.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note that the 13C VPDB scale origin depends upon the 17O correction (!)</a:t>
          </a:r>
        </a:p>
      </xdr:txBody>
    </xdr:sp>
    <xdr:clientData/>
  </xdr:oneCellAnchor>
  <xdr:twoCellAnchor>
    <xdr:from>
      <xdr:col>3</xdr:col>
      <xdr:colOff>1162050</xdr:colOff>
      <xdr:row>1</xdr:row>
      <xdr:rowOff>438150</xdr:rowOff>
    </xdr:from>
    <xdr:to>
      <xdr:col>4</xdr:col>
      <xdr:colOff>228600</xdr:colOff>
      <xdr:row>2</xdr:row>
      <xdr:rowOff>133350</xdr:rowOff>
    </xdr:to>
    <xdr:sp macro="" textlink="">
      <xdr:nvSpPr>
        <xdr:cNvPr id="1078" name="Line 54"/>
        <xdr:cNvSpPr>
          <a:spLocks noChangeShapeType="1"/>
        </xdr:cNvSpPr>
      </xdr:nvSpPr>
      <xdr:spPr bwMode="auto">
        <a:xfrm flipH="1">
          <a:off x="3590925" y="1009650"/>
          <a:ext cx="276225" cy="2286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133350</xdr:colOff>
      <xdr:row>2</xdr:row>
      <xdr:rowOff>171450</xdr:rowOff>
    </xdr:from>
    <xdr:ext cx="4505325" cy="523875"/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4543425" y="1276350"/>
          <a:ext cx="4505325" cy="523875"/>
        </a:xfrm>
        <a:prstGeom prst="rect">
          <a:avLst/>
        </a:prstGeom>
        <a:solidFill>
          <a:srgbClr val="CC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values are calculated from the above input.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may change the d45 and d46 reference from Assonov to other ratio sets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(e.g. replace the column from N to I, if you want to use the Santrock ratio set).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1209675</xdr:colOff>
      <xdr:row>4</xdr:row>
      <xdr:rowOff>28575</xdr:rowOff>
    </xdr:from>
    <xdr:to>
      <xdr:col>5</xdr:col>
      <xdr:colOff>180975</xdr:colOff>
      <xdr:row>6</xdr:row>
      <xdr:rowOff>28575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 flipH="1">
          <a:off x="2428875" y="1895475"/>
          <a:ext cx="2162175" cy="3238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5</xdr:row>
      <xdr:rowOff>19050</xdr:rowOff>
    </xdr:from>
    <xdr:to>
      <xdr:col>18</xdr:col>
      <xdr:colOff>95250</xdr:colOff>
      <xdr:row>36</xdr:row>
      <xdr:rowOff>95250</xdr:rowOff>
    </xdr:to>
    <xdr:graphicFrame macro="">
      <xdr:nvGraphicFramePr>
        <xdr:cNvPr id="10241" name="Chart 1"/>
        <xdr:cNvGraphicFramePr/>
      </xdr:nvGraphicFramePr>
      <xdr:xfrm>
        <a:off x="6019800" y="857250"/>
        <a:ext cx="55149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66675</xdr:colOff>
      <xdr:row>38</xdr:row>
      <xdr:rowOff>76200</xdr:rowOff>
    </xdr:from>
    <xdr:ext cx="8258175" cy="1476375"/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6038850" y="6257925"/>
          <a:ext cx="8258175" cy="147637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Conclusion: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The Santrock data contain an outlier (#4), which has a significant impact on the extracted correlation data. Removing the outlier leads to a much better coincidence with the data set by Assonov.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For 17R/13R I obtain 0.03560 (Assonov: 0.03516), corresponding to a 17R value of 0.000398 in VPDB-CO2 (+1.01% vs. Assonov). The original Santrock 17R/13R value (0.03655) was +4.0% vs. Assonov.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FF"/>
              </a:solidFill>
              <a:latin typeface="Arial"/>
              <a:cs typeface="Arial"/>
            </a:rPr>
            <a:t>All in all, the data set is not precise enough to obtain a better insight !!</a:t>
          </a:r>
        </a:p>
      </xdr:txBody>
    </xdr:sp>
    <xdr:clientData/>
  </xdr:oneCellAnchor>
  <xdr:twoCellAnchor>
    <xdr:from>
      <xdr:col>18</xdr:col>
      <xdr:colOff>180975</xdr:colOff>
      <xdr:row>5</xdr:row>
      <xdr:rowOff>19050</xdr:rowOff>
    </xdr:from>
    <xdr:to>
      <xdr:col>27</xdr:col>
      <xdr:colOff>238125</xdr:colOff>
      <xdr:row>36</xdr:row>
      <xdr:rowOff>104775</xdr:rowOff>
    </xdr:to>
    <xdr:graphicFrame macro="">
      <xdr:nvGraphicFramePr>
        <xdr:cNvPr id="10244" name="Chart 4"/>
        <xdr:cNvGraphicFramePr/>
      </xdr:nvGraphicFramePr>
      <xdr:xfrm>
        <a:off x="11620500" y="857250"/>
        <a:ext cx="554355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27</xdr:row>
      <xdr:rowOff>142875</xdr:rowOff>
    </xdr:from>
    <xdr:to>
      <xdr:col>21</xdr:col>
      <xdr:colOff>514350</xdr:colOff>
      <xdr:row>32</xdr:row>
      <xdr:rowOff>123825</xdr:rowOff>
    </xdr:to>
    <xdr:sp macro="" textlink="">
      <xdr:nvSpPr>
        <xdr:cNvPr id="10245" name="Oval 5"/>
        <xdr:cNvSpPr>
          <a:spLocks noChangeArrowheads="1"/>
        </xdr:cNvSpPr>
      </xdr:nvSpPr>
      <xdr:spPr bwMode="auto">
        <a:xfrm>
          <a:off x="12744450" y="4543425"/>
          <a:ext cx="1038225" cy="790575"/>
        </a:xfrm>
        <a:prstGeom prst="ellipse">
          <a:avLst/>
        </a:prstGeom>
        <a:noFill/>
        <a:ln w="25400">
          <a:solidFill>
            <a:srgbClr xmlns:a14="http://schemas.microsoft.com/office/drawing/2010/main" xmlns:mc="http://schemas.openxmlformats.org/markup-compatibility/2006" val="FF0000" mc:Ignorable="a14" a14:legacySpreadsheetColorIndex="10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0</xdr:row>
      <xdr:rowOff>28575</xdr:rowOff>
    </xdr:from>
    <xdr:ext cx="1809750" cy="257175"/>
    <xdr:sp macro="" textlink="">
      <xdr:nvSpPr>
        <xdr:cNvPr id="9225" name="Text Box 9"/>
        <xdr:cNvSpPr txBox="1">
          <a:spLocks noChangeArrowheads="1"/>
        </xdr:cNvSpPr>
      </xdr:nvSpPr>
      <xdr:spPr bwMode="auto">
        <a:xfrm>
          <a:off x="4248150" y="28575"/>
          <a:ext cx="1809750" cy="257175"/>
        </a:xfrm>
        <a:prstGeom prst="rect">
          <a:avLst/>
        </a:prstGeom>
        <a:solidFill>
          <a:srgbClr val="FFCC99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values are examples for NBS-19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Put in your own test values here.</a:t>
          </a:r>
        </a:p>
      </xdr:txBody>
    </xdr:sp>
    <xdr:clientData/>
  </xdr:oneCellAnchor>
  <xdr:twoCellAnchor>
    <xdr:from>
      <xdr:col>2</xdr:col>
      <xdr:colOff>0</xdr:colOff>
      <xdr:row>1</xdr:row>
      <xdr:rowOff>142875</xdr:rowOff>
    </xdr:from>
    <xdr:to>
      <xdr:col>2</xdr:col>
      <xdr:colOff>238125</xdr:colOff>
      <xdr:row>1</xdr:row>
      <xdr:rowOff>142875</xdr:rowOff>
    </xdr:to>
    <xdr:sp macro="" textlink="">
      <xdr:nvSpPr>
        <xdr:cNvPr id="9226" name="Line 10"/>
        <xdr:cNvSpPr>
          <a:spLocks noChangeShapeType="1"/>
        </xdr:cNvSpPr>
      </xdr:nvSpPr>
      <xdr:spPr bwMode="auto">
        <a:xfrm flipH="1">
          <a:off x="4019550" y="361950"/>
          <a:ext cx="2381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104775</xdr:colOff>
      <xdr:row>1</xdr:row>
      <xdr:rowOff>85725</xdr:rowOff>
    </xdr:from>
    <xdr:ext cx="5057775" cy="371475"/>
    <xdr:sp macro="" textlink="">
      <xdr:nvSpPr>
        <xdr:cNvPr id="9227" name="Text Box 11"/>
        <xdr:cNvSpPr txBox="1">
          <a:spLocks noChangeArrowheads="1"/>
        </xdr:cNvSpPr>
      </xdr:nvSpPr>
      <xdr:spPr bwMode="auto">
        <a:xfrm>
          <a:off x="6019800" y="304800"/>
          <a:ext cx="5057775" cy="371475"/>
        </a:xfrm>
        <a:prstGeom prst="rect">
          <a:avLst/>
        </a:prstGeom>
        <a:solidFill>
          <a:srgbClr val="00CC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values are calculated from the above input. You may change the d45 and d46 reference from Assonov to other ratio sets (e.g. replace the column from L to G, if you want to use the Santrock ratio set). </a:t>
          </a:r>
        </a:p>
      </xdr:txBody>
    </xdr:sp>
    <xdr:clientData/>
  </xdr:oneCellAnchor>
  <xdr:twoCellAnchor>
    <xdr:from>
      <xdr:col>2</xdr:col>
      <xdr:colOff>9525</xdr:colOff>
      <xdr:row>3</xdr:row>
      <xdr:rowOff>57150</xdr:rowOff>
    </xdr:from>
    <xdr:to>
      <xdr:col>5</xdr:col>
      <xdr:colOff>19050</xdr:colOff>
      <xdr:row>4</xdr:row>
      <xdr:rowOff>9525</xdr:rowOff>
    </xdr:to>
    <xdr:sp macro="" textlink="">
      <xdr:nvSpPr>
        <xdr:cNvPr id="9228" name="Line 12"/>
        <xdr:cNvSpPr>
          <a:spLocks noChangeShapeType="1"/>
        </xdr:cNvSpPr>
      </xdr:nvSpPr>
      <xdr:spPr bwMode="auto">
        <a:xfrm flipH="1">
          <a:off x="4029075" y="561975"/>
          <a:ext cx="1905000" cy="952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gc.mpg.de/service/iso_gas_lab/publications/17Ocorr_Brand_Assonov_Coplen_submitted_to_PAC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90" zoomScaleNormal="90" zoomScaleSheetLayoutView="75" workbookViewId="0" topLeftCell="A1">
      <pane xSplit="22680" topLeftCell="A1" activePane="topLeft" state="split"/>
      <selection pane="topLeft" activeCell="K21" sqref="K21"/>
      <selection pane="topRight" activeCell="N15" sqref="N15"/>
    </sheetView>
  </sheetViews>
  <sheetFormatPr defaultColWidth="18.140625" defaultRowHeight="12.75"/>
  <cols>
    <col min="1" max="1" width="0.13671875" style="1" customWidth="1"/>
    <col min="2" max="4" width="18.140625" style="1" customWidth="1"/>
    <col min="5" max="5" width="11.57421875" style="1" customWidth="1"/>
    <col min="6" max="6" width="10.7109375" style="1" customWidth="1"/>
    <col min="7" max="7" width="10.140625" style="1" customWidth="1"/>
    <col min="8" max="8" width="14.00390625" style="1" customWidth="1"/>
    <col min="9" max="9" width="15.7109375" style="1" customWidth="1"/>
    <col min="10" max="10" width="22.140625" style="1" customWidth="1"/>
    <col min="11" max="11" width="19.8515625" style="1" customWidth="1"/>
    <col min="12" max="12" width="12.421875" style="1" customWidth="1"/>
    <col min="13" max="16384" width="18.140625" style="1" customWidth="1"/>
  </cols>
  <sheetData>
    <row r="1" spans="1:8" ht="45" customHeight="1">
      <c r="A1" s="125" t="s">
        <v>55</v>
      </c>
      <c r="B1" s="125"/>
      <c r="C1" s="125"/>
      <c r="D1" s="125"/>
      <c r="E1" s="125"/>
      <c r="F1" s="125"/>
      <c r="G1" s="125"/>
      <c r="H1" s="125"/>
    </row>
    <row r="2" spans="1:8" ht="42" customHeight="1">
      <c r="A2" s="15"/>
      <c r="B2" s="97"/>
      <c r="C2" s="97"/>
      <c r="D2" s="97"/>
      <c r="E2" s="15"/>
      <c r="F2" s="15"/>
      <c r="G2" s="15"/>
      <c r="H2" s="15"/>
    </row>
    <row r="3" spans="1:8" ht="30" customHeight="1">
      <c r="A3" s="15"/>
      <c r="B3" s="128" t="s">
        <v>54</v>
      </c>
      <c r="C3" s="11" t="s">
        <v>47</v>
      </c>
      <c r="D3" s="13">
        <v>1.95</v>
      </c>
      <c r="E3" s="15" t="s">
        <v>56</v>
      </c>
      <c r="F3" s="15"/>
      <c r="G3" s="15"/>
      <c r="H3" s="15"/>
    </row>
    <row r="4" spans="1:8" ht="30" customHeight="1">
      <c r="A4" s="15"/>
      <c r="B4" s="129"/>
      <c r="C4" s="12" t="s">
        <v>48</v>
      </c>
      <c r="D4" s="14">
        <v>-2.2</v>
      </c>
      <c r="E4" s="15" t="s">
        <v>56</v>
      </c>
      <c r="F4" s="15"/>
      <c r="G4" s="15"/>
      <c r="H4" s="15"/>
    </row>
    <row r="5" spans="2:4" ht="12.75">
      <c r="B5" s="104" t="s">
        <v>49</v>
      </c>
      <c r="C5" s="92"/>
      <c r="D5" s="98"/>
    </row>
    <row r="6" spans="2:14" ht="12.75">
      <c r="B6" s="105" t="s">
        <v>30</v>
      </c>
      <c r="C6" s="108">
        <f>M56</f>
        <v>1.745523424725448</v>
      </c>
      <c r="D6" s="98"/>
      <c r="H6" s="130" t="s">
        <v>23</v>
      </c>
      <c r="I6" s="131"/>
      <c r="J6" s="131"/>
      <c r="K6" s="131"/>
      <c r="L6" s="131"/>
      <c r="M6" s="131"/>
      <c r="N6" s="132"/>
    </row>
    <row r="7" spans="2:14" ht="12.75">
      <c r="B7" s="105"/>
      <c r="C7" s="106"/>
      <c r="D7" s="98"/>
      <c r="H7" s="133"/>
      <c r="I7" s="134"/>
      <c r="J7" s="134"/>
      <c r="K7" s="134"/>
      <c r="L7" s="134"/>
      <c r="M7" s="134"/>
      <c r="N7" s="135"/>
    </row>
    <row r="8" spans="2:14" ht="12.75">
      <c r="B8" s="107" t="s">
        <v>31</v>
      </c>
      <c r="C8" s="109">
        <f>M57</f>
        <v>-2.1936709121842535</v>
      </c>
      <c r="D8" s="98"/>
      <c r="H8" s="136"/>
      <c r="I8" s="137"/>
      <c r="J8" s="137"/>
      <c r="K8" s="137"/>
      <c r="L8" s="137"/>
      <c r="M8" s="137"/>
      <c r="N8" s="138"/>
    </row>
    <row r="9" spans="2:14" s="93" customFormat="1" ht="39.75" customHeight="1">
      <c r="B9" s="99"/>
      <c r="C9" s="99"/>
      <c r="D9" s="100" t="s">
        <v>0</v>
      </c>
      <c r="E9" s="101" t="s">
        <v>2</v>
      </c>
      <c r="F9" s="101" t="s">
        <v>17</v>
      </c>
      <c r="G9" s="101" t="s">
        <v>4</v>
      </c>
      <c r="H9" s="100" t="s">
        <v>5</v>
      </c>
      <c r="I9" s="100" t="s">
        <v>6</v>
      </c>
      <c r="J9" s="100" t="s">
        <v>90</v>
      </c>
      <c r="K9" s="100" t="s">
        <v>40</v>
      </c>
      <c r="L9" s="100" t="s">
        <v>8</v>
      </c>
      <c r="M9" s="102" t="s">
        <v>9</v>
      </c>
      <c r="N9" s="103" t="s">
        <v>110</v>
      </c>
    </row>
    <row r="10" spans="2:14" ht="12.75">
      <c r="B10" s="1" t="s">
        <v>1</v>
      </c>
      <c r="D10" s="1">
        <v>0.0112372</v>
      </c>
      <c r="E10" s="1">
        <v>0.0111802</v>
      </c>
      <c r="H10" s="1">
        <v>0.0112372</v>
      </c>
      <c r="I10" s="1">
        <v>0.0112372</v>
      </c>
      <c r="J10" s="1">
        <v>0.0112372</v>
      </c>
      <c r="K10" s="1">
        <v>0.0111802</v>
      </c>
      <c r="L10" s="1">
        <v>0.0112372</v>
      </c>
      <c r="M10" s="87">
        <v>0.0112372</v>
      </c>
      <c r="N10" s="1">
        <v>0.0111802</v>
      </c>
    </row>
    <row r="11" spans="2:13" ht="12.75">
      <c r="B11" s="1" t="s">
        <v>3</v>
      </c>
      <c r="G11" s="1">
        <v>0.0020052</v>
      </c>
      <c r="L11" s="2" t="s">
        <v>39</v>
      </c>
      <c r="M11" s="87"/>
    </row>
    <row r="12" spans="2:14" ht="12.75">
      <c r="B12" s="1" t="s">
        <v>15</v>
      </c>
      <c r="D12" s="1">
        <v>0.002079</v>
      </c>
      <c r="H12" s="1">
        <v>0.002088349</v>
      </c>
      <c r="I12" s="1">
        <v>0.002088349</v>
      </c>
      <c r="J12" s="1">
        <f>($G$11*1.03092)*1.01025</f>
        <v>0.0020883895920360005</v>
      </c>
      <c r="K12" s="1">
        <f>($G$11*1.03092)*1.01025</f>
        <v>0.0020883895920360005</v>
      </c>
      <c r="L12" s="1">
        <v>0.002088349</v>
      </c>
      <c r="M12" s="87">
        <v>0.002088349</v>
      </c>
      <c r="N12" s="1">
        <v>0.0020884</v>
      </c>
    </row>
    <row r="13" spans="2:14" ht="12.75">
      <c r="B13" s="1" t="s">
        <v>19</v>
      </c>
      <c r="D13" s="3">
        <v>0.5</v>
      </c>
      <c r="H13" s="3">
        <v>0.5</v>
      </c>
      <c r="I13" s="3">
        <v>0.516</v>
      </c>
      <c r="J13" s="3">
        <v>0.52</v>
      </c>
      <c r="K13" s="3">
        <v>0.52</v>
      </c>
      <c r="L13" s="3">
        <v>0.5247</v>
      </c>
      <c r="M13" s="88">
        <v>0.528</v>
      </c>
      <c r="N13" s="1">
        <v>0.528</v>
      </c>
    </row>
    <row r="14" spans="2:14" ht="12.75">
      <c r="B14" s="1" t="s">
        <v>22</v>
      </c>
      <c r="C14" s="4"/>
      <c r="D14" s="1">
        <f>(D15/D12^(D13))</f>
        <v>0.008332958216665473</v>
      </c>
      <c r="H14" s="1">
        <f>(H15*H12^-H13)</f>
        <v>0.008332958363640949</v>
      </c>
      <c r="I14" s="1">
        <v>0.0099235</v>
      </c>
      <c r="J14" s="1">
        <f>(J15*J12^(-J13))</f>
        <v>0.009607011729357</v>
      </c>
      <c r="K14" s="1">
        <f>(K15*K12^-K13)</f>
        <v>0.009607011729357</v>
      </c>
      <c r="L14" s="1">
        <f>(L15*L12^-L13)</f>
        <v>0.010069718875608293</v>
      </c>
      <c r="M14" s="87">
        <f>(M15*M12^-M13)</f>
        <v>0.010276896814844432</v>
      </c>
      <c r="N14" s="1">
        <f>(N15*N12^-N13)</f>
        <v>0.010224434190949493</v>
      </c>
    </row>
    <row r="15" spans="2:14" ht="12.75">
      <c r="B15" s="1" t="s">
        <v>16</v>
      </c>
      <c r="D15" s="3">
        <v>0.00037995</v>
      </c>
      <c r="E15" s="3"/>
      <c r="F15" s="3"/>
      <c r="G15" s="3"/>
      <c r="H15" s="3">
        <v>0.000380803342</v>
      </c>
      <c r="I15" s="3">
        <f>I12^I13*I14</f>
        <v>0.0004108499728634334</v>
      </c>
      <c r="J15" s="3">
        <f>0.000386*1.01025^J13</f>
        <v>0.0003880523442762835</v>
      </c>
      <c r="K15" s="3">
        <f>0.000386*1.01025^K13</f>
        <v>0.0003880523442762835</v>
      </c>
      <c r="L15" s="3">
        <v>0.00039511</v>
      </c>
      <c r="M15" s="88">
        <v>0.00039511</v>
      </c>
      <c r="N15" s="1">
        <f>N10*N17</f>
        <v>0.00039309806804</v>
      </c>
    </row>
    <row r="16" spans="2:14" ht="12.75">
      <c r="B16" s="1" t="s">
        <v>10</v>
      </c>
      <c r="F16" s="1">
        <v>0.0003799</v>
      </c>
      <c r="J16" s="1">
        <v>0.0003818368</v>
      </c>
      <c r="K16" s="1">
        <v>0.0003799</v>
      </c>
      <c r="L16" s="1">
        <v>0.00038672</v>
      </c>
      <c r="M16" s="87">
        <v>0.00038672</v>
      </c>
      <c r="N16" s="1">
        <v>0.00038672</v>
      </c>
    </row>
    <row r="17" spans="2:14" ht="12.75">
      <c r="B17" s="1" t="s">
        <v>88</v>
      </c>
      <c r="D17" s="1">
        <f>D15/D10</f>
        <v>0.033811803652155345</v>
      </c>
      <c r="H17" s="1">
        <f aca="true" t="shared" si="0" ref="H17:M17">H15/H10</f>
        <v>0.03388774267611149</v>
      </c>
      <c r="I17" s="1">
        <f t="shared" si="0"/>
        <v>0.03656159655994673</v>
      </c>
      <c r="J17" s="1">
        <f t="shared" si="0"/>
        <v>0.034532832402759006</v>
      </c>
      <c r="K17" s="1">
        <f t="shared" si="0"/>
        <v>0.03470889110000568</v>
      </c>
      <c r="L17" s="1">
        <f t="shared" si="0"/>
        <v>0.035160894172925644</v>
      </c>
      <c r="M17" s="87">
        <f t="shared" si="0"/>
        <v>0.035160894172925644</v>
      </c>
      <c r="N17" s="1">
        <v>0.0351602</v>
      </c>
    </row>
    <row r="18" ht="12.75">
      <c r="M18" s="87"/>
    </row>
    <row r="19" ht="12.75">
      <c r="M19" s="87"/>
    </row>
    <row r="20" spans="2:14" ht="12.75">
      <c r="B20" s="1" t="s">
        <v>11</v>
      </c>
      <c r="D20" s="1">
        <f>$D$10+2*D15</f>
        <v>0.0119971</v>
      </c>
      <c r="H20" s="1">
        <f>$D$10+2*H15</f>
        <v>0.011998806684</v>
      </c>
      <c r="I20" s="1">
        <f>$D$10+2*I15</f>
        <v>0.012058899945726866</v>
      </c>
      <c r="J20" s="1">
        <f>$D$10+2*J15</f>
        <v>0.012013304688552566</v>
      </c>
      <c r="K20" s="1">
        <f>$K$10+2*K15</f>
        <v>0.011956304688552567</v>
      </c>
      <c r="L20" s="1">
        <f>$D$10+2*L15</f>
        <v>0.012027419999999999</v>
      </c>
      <c r="M20" s="87">
        <f>$D$10+2*M15</f>
        <v>0.012027419999999999</v>
      </c>
      <c r="N20" s="1">
        <f>$D$10+2*N15</f>
        <v>0.01202339613608</v>
      </c>
    </row>
    <row r="21" spans="2:14" ht="12.75">
      <c r="B21" s="1" t="s">
        <v>12</v>
      </c>
      <c r="D21" s="1">
        <f>$E$10+2*D15</f>
        <v>0.011940099999999999</v>
      </c>
      <c r="H21" s="1">
        <f aca="true" t="shared" si="1" ref="H21:M21">$E$10+2*H15</f>
        <v>0.011941806684</v>
      </c>
      <c r="I21" s="1">
        <f t="shared" si="1"/>
        <v>0.012001899945726867</v>
      </c>
      <c r="J21" s="1">
        <f t="shared" si="1"/>
        <v>0.011956304688552567</v>
      </c>
      <c r="K21" s="1">
        <f t="shared" si="1"/>
        <v>0.011956304688552567</v>
      </c>
      <c r="L21" s="1">
        <f t="shared" si="1"/>
        <v>0.011970419999999999</v>
      </c>
      <c r="M21" s="87">
        <f t="shared" si="1"/>
        <v>0.011970419999999999</v>
      </c>
      <c r="N21" s="1">
        <f>$E$10+2*N15</f>
        <v>0.011966396136079999</v>
      </c>
    </row>
    <row r="22" spans="2:14" ht="12.75">
      <c r="B22" s="1" t="s">
        <v>13</v>
      </c>
      <c r="D22" s="1">
        <f>2*D12+2*D15*$D$10+D15*D15</f>
        <v>0.0041666835102825</v>
      </c>
      <c r="H22" s="1">
        <f>2*H12+2*H15*$D$10+H15*H15</f>
        <v>0.004185401337814723</v>
      </c>
      <c r="I22" s="1">
        <f>2*I12+2*I15*$D$10+I15*I15</f>
        <v>0.004186100404330324</v>
      </c>
      <c r="J22" s="1">
        <f>2*J12+2*J15*$D$10+J15*J15</f>
        <v>0.004185651012300102</v>
      </c>
      <c r="K22" s="1">
        <f>2*K12+2*K15*$K$10+K15*K15</f>
        <v>0.004185606774332855</v>
      </c>
      <c r="L22" s="1">
        <f>2*L12+2*L15*$D$10+L15*L15</f>
        <v>0.0041857339720961</v>
      </c>
      <c r="M22" s="87">
        <f>2*M12+2*M15*$D$10+M15*M15</f>
        <v>0.0041857339720961</v>
      </c>
      <c r="N22" s="1">
        <f>2*N12+2*N15*$D$10+N15*N15</f>
        <v>0.004185789169311454</v>
      </c>
    </row>
    <row r="23" spans="2:14" ht="12.75">
      <c r="B23" s="1" t="s">
        <v>14</v>
      </c>
      <c r="D23" s="1">
        <f>2*D12+2*D15*$E$10+D15*D15</f>
        <v>0.0041666401959825</v>
      </c>
      <c r="H23" s="1">
        <f aca="true" t="shared" si="2" ref="H23:M23">2*H12+2*H15*$E$10+H15*H15</f>
        <v>0.004185357926233735</v>
      </c>
      <c r="I23" s="1">
        <f t="shared" si="2"/>
        <v>0.0041860535674334174</v>
      </c>
      <c r="J23" s="1">
        <f t="shared" si="2"/>
        <v>0.004185606774332855</v>
      </c>
      <c r="K23" s="1">
        <f t="shared" si="2"/>
        <v>0.004185606774332855</v>
      </c>
      <c r="L23" s="1">
        <f t="shared" si="2"/>
        <v>0.0041856889295561</v>
      </c>
      <c r="M23" s="87">
        <f t="shared" si="2"/>
        <v>0.0041856889295561</v>
      </c>
      <c r="N23" s="1">
        <f>2*N12+2*N15*$E$10+N15*N15</f>
        <v>0.004185744356131698</v>
      </c>
    </row>
    <row r="24" ht="12.75">
      <c r="M24" s="87"/>
    </row>
    <row r="25" spans="2:14" ht="12.75">
      <c r="B25" s="1" t="s">
        <v>33</v>
      </c>
      <c r="C25" s="1" t="s">
        <v>37</v>
      </c>
      <c r="D25" s="1">
        <f>D20/$D$10*$C$6-D15/$D$10*$C$8</f>
        <v>1.9377339854997762</v>
      </c>
      <c r="H25" s="1">
        <f aca="true" t="shared" si="3" ref="H25:M25">H20/$D$10*$C$6-H15/$D$10*$C$8</f>
        <v>1.9381656774180607</v>
      </c>
      <c r="I25" s="1">
        <f t="shared" si="3"/>
        <v>1.9533657820835157</v>
      </c>
      <c r="J25" s="1">
        <f t="shared" si="3"/>
        <v>1.9418328304449821</v>
      </c>
      <c r="K25" s="1">
        <f t="shared" si="3"/>
        <v>1.9329787711411208</v>
      </c>
      <c r="L25" s="1">
        <f t="shared" si="3"/>
        <v>1.9454031843452524</v>
      </c>
      <c r="M25" s="87">
        <f t="shared" si="3"/>
        <v>1.9454031843452524</v>
      </c>
      <c r="N25" s="1">
        <f>N20/$D$10*$C$6-N15/$D$10*$C$8</f>
        <v>1.944385380501927</v>
      </c>
    </row>
    <row r="26" spans="2:13" ht="12.75">
      <c r="B26" s="1" t="s">
        <v>34</v>
      </c>
      <c r="C26" s="1" t="s">
        <v>38</v>
      </c>
      <c r="D26" s="1">
        <f>1.0676*$C$6-0.0338*$C$8</f>
        <v>1.9376668850687164</v>
      </c>
      <c r="M26" s="87"/>
    </row>
    <row r="27" spans="2:14" ht="12.75">
      <c r="B27" s="127" t="s">
        <v>53</v>
      </c>
      <c r="C27" s="127"/>
      <c r="D27" s="1">
        <f>D20/$D$10*$C$6-1000*D15/$D$10*($C$8/1000-($C$8/1000)^2/8)</f>
        <v>1.937754324111456</v>
      </c>
      <c r="H27" s="1">
        <f aca="true" t="shared" si="4" ref="H27:M27">H20/$D$10*$C$6-1000*H15/$D$10*($C$8/1000-($C$8/1000)^2/8)</f>
        <v>1.9381860617088866</v>
      </c>
      <c r="I27" s="1">
        <f t="shared" si="4"/>
        <v>1.9533877747616493</v>
      </c>
      <c r="J27" s="1">
        <f t="shared" si="4"/>
        <v>1.9418536027727666</v>
      </c>
      <c r="K27" s="1">
        <f t="shared" si="4"/>
        <v>1.9329995434689053</v>
      </c>
      <c r="L27" s="1">
        <f t="shared" si="4"/>
        <v>1.9454243344672708</v>
      </c>
      <c r="M27" s="87">
        <f t="shared" si="4"/>
        <v>1.9454243344672708</v>
      </c>
      <c r="N27" s="1">
        <f>N20/$D$10*$C$6-1000*N15/$D$10*($C$8/1000-($C$8/1000)^2/8)</f>
        <v>1.9444064229258198</v>
      </c>
    </row>
    <row r="28" ht="12.75">
      <c r="M28" s="87"/>
    </row>
    <row r="29" spans="2:13" ht="12.75">
      <c r="B29" s="5" t="s">
        <v>35</v>
      </c>
      <c r="C29" s="5" t="s">
        <v>36</v>
      </c>
      <c r="M29" s="87"/>
    </row>
    <row r="30" spans="2:13" ht="12.75">
      <c r="B30" s="126" t="s">
        <v>21</v>
      </c>
      <c r="C30" s="126"/>
      <c r="D30" s="1">
        <f>($C$6/1000+1)*D20</f>
        <v>0.012018041219078774</v>
      </c>
      <c r="H30" s="1">
        <f aca="true" t="shared" si="5" ref="H30:M30">($C$6/1000+1)*H20</f>
        <v>0.012019750882135674</v>
      </c>
      <c r="I30" s="1">
        <f t="shared" si="5"/>
        <v>0.012079949038058552</v>
      </c>
      <c r="J30" s="1">
        <f t="shared" si="5"/>
        <v>0.0120342741932948</v>
      </c>
      <c r="K30" s="1">
        <f t="shared" si="5"/>
        <v>0.011977174698459589</v>
      </c>
      <c r="L30" s="1">
        <f t="shared" si="5"/>
        <v>0.01204841414334901</v>
      </c>
      <c r="M30" s="87">
        <f t="shared" si="5"/>
        <v>0.01204841414334901</v>
      </c>
    </row>
    <row r="31" spans="2:13" ht="12.75">
      <c r="B31" s="76" t="s">
        <v>87</v>
      </c>
      <c r="C31" s="6"/>
      <c r="D31" s="1">
        <f>($C$8/1000+1)*D22</f>
        <v>0.004157543177865716</v>
      </c>
      <c r="H31" s="1">
        <f aca="true" t="shared" si="6" ref="H31:M31">($C$8/1000+1)*H22</f>
        <v>0.004176219944644142</v>
      </c>
      <c r="I31" s="1">
        <f t="shared" si="6"/>
        <v>0.004176917477637862</v>
      </c>
      <c r="J31" s="1">
        <f t="shared" si="6"/>
        <v>0.004176469071425865</v>
      </c>
      <c r="K31" s="1">
        <f t="shared" si="6"/>
        <v>0.00417642493050216</v>
      </c>
      <c r="L31" s="1">
        <f t="shared" si="6"/>
        <v>0.004176551849235372</v>
      </c>
      <c r="M31" s="87">
        <f t="shared" si="6"/>
        <v>0.004176551849235372</v>
      </c>
    </row>
    <row r="32" spans="2:13" ht="12.75">
      <c r="B32" s="1" t="s">
        <v>24</v>
      </c>
      <c r="D32" s="1">
        <f>D31/2</f>
        <v>0.002078771588932858</v>
      </c>
      <c r="H32" s="1">
        <f aca="true" t="shared" si="7" ref="H32:M32">H31/2</f>
        <v>0.002088109972322071</v>
      </c>
      <c r="I32" s="1">
        <f t="shared" si="7"/>
        <v>0.002088458738818931</v>
      </c>
      <c r="J32" s="1">
        <f t="shared" si="7"/>
        <v>0.0020882345357129324</v>
      </c>
      <c r="K32" s="1">
        <f t="shared" si="7"/>
        <v>0.00208821246525108</v>
      </c>
      <c r="L32" s="1">
        <f t="shared" si="7"/>
        <v>0.002088275924617686</v>
      </c>
      <c r="M32" s="87">
        <f t="shared" si="7"/>
        <v>0.002088275924617686</v>
      </c>
    </row>
    <row r="33" ht="12.75">
      <c r="M33" s="87"/>
    </row>
    <row r="34" spans="2:13" ht="12.75">
      <c r="B34" s="77" t="s">
        <v>50</v>
      </c>
      <c r="M34" s="87"/>
    </row>
    <row r="35" spans="2:13" ht="12.75">
      <c r="B35" s="127" t="s">
        <v>25</v>
      </c>
      <c r="C35" s="127"/>
      <c r="D35" s="7">
        <f>(-3*D14^2*D32^(2*D13)+2*D14*D30*D32^D13+2*D32-D31)</f>
        <v>8.698969407069067E-06</v>
      </c>
      <c r="H35" s="7">
        <f aca="true" t="shared" si="8" ref="H35:M35">(-3*H14^2*H32^(2*H13)+2*H14*H30*H32^H13+2*H32-H31)</f>
        <v>8.71881494249934E-06</v>
      </c>
      <c r="I35" s="7">
        <f t="shared" si="8"/>
        <v>9.419942047726379E-06</v>
      </c>
      <c r="J35" s="7">
        <f t="shared" si="8"/>
        <v>8.887777039012952E-06</v>
      </c>
      <c r="K35" s="7">
        <f t="shared" si="8"/>
        <v>8.843417444358292E-06</v>
      </c>
      <c r="L35" s="7">
        <f t="shared" si="8"/>
        <v>9.052404477868578E-06</v>
      </c>
      <c r="M35" s="89">
        <f t="shared" si="8"/>
        <v>9.052403486617226E-06</v>
      </c>
    </row>
    <row r="36" spans="2:13" ht="12.75">
      <c r="B36" s="127" t="s">
        <v>26</v>
      </c>
      <c r="C36" s="127"/>
      <c r="D36" s="1">
        <f>(-6*D14^2*D13*D32^(2*D13-1)+2*D14*D30*D13*D32^(D13-1)+2)</f>
        <v>2.0019881768215737</v>
      </c>
      <c r="H36" s="1">
        <f aca="true" t="shared" si="9" ref="H36:M36">(-6*H14^2*H13*H32^(2*H13-1)+2*H14*H30*H13*H32^(H13-1)+2)</f>
        <v>2.0019835715765497</v>
      </c>
      <c r="I36" s="1">
        <f t="shared" si="9"/>
        <v>2.0022022829568353</v>
      </c>
      <c r="J36" s="1">
        <f t="shared" si="9"/>
        <v>2.002100698036647</v>
      </c>
      <c r="K36" s="1">
        <f t="shared" si="9"/>
        <v>2.0020896751908683</v>
      </c>
      <c r="L36" s="1">
        <f t="shared" si="9"/>
        <v>2.0021568365746822</v>
      </c>
      <c r="M36" s="87">
        <f t="shared" si="9"/>
        <v>2.0021704013613046</v>
      </c>
    </row>
    <row r="37" spans="2:13" ht="12.75">
      <c r="B37" s="1" t="s">
        <v>28</v>
      </c>
      <c r="D37" s="1">
        <f>D32-D35/D36</f>
        <v>0.002074426423707717</v>
      </c>
      <c r="H37" s="1">
        <f aca="true" t="shared" si="10" ref="H37:M37">H32-H35/H36</f>
        <v>0.0020837548841653617</v>
      </c>
      <c r="I37" s="1">
        <f t="shared" si="10"/>
        <v>0.002083753948434907</v>
      </c>
      <c r="J37" s="1">
        <f t="shared" si="10"/>
        <v>0.0020837953099298694</v>
      </c>
      <c r="K37" s="1">
        <f t="shared" si="10"/>
        <v>0.0020837953716743326</v>
      </c>
      <c r="L37" s="1">
        <f t="shared" si="10"/>
        <v>0.002083754598259779</v>
      </c>
      <c r="M37" s="87">
        <f t="shared" si="10"/>
        <v>0.002083754629387039</v>
      </c>
    </row>
    <row r="38" spans="2:13" ht="12.75">
      <c r="B38" s="127" t="s">
        <v>27</v>
      </c>
      <c r="C38" s="127"/>
      <c r="D38" s="7">
        <f>(-3*D14^2*D37^(2*D13)+2*D14*D30*D37^D13+2*D37-D31)</f>
        <v>-4.9926321757376435E-12</v>
      </c>
      <c r="H38" s="7">
        <f aca="true" t="shared" si="11" ref="H38:M38">(-3*H14^2*H37^(2*H13)+2*H14*H30*H37^H13+2*H37-H31)</f>
        <v>-4.982551697618742E-12</v>
      </c>
      <c r="I38" s="7">
        <f t="shared" si="11"/>
        <v>-6.339969348123642E-12</v>
      </c>
      <c r="J38" s="7">
        <f t="shared" si="11"/>
        <v>-5.315392223592674E-12</v>
      </c>
      <c r="K38" s="7">
        <f t="shared" si="11"/>
        <v>-5.2378084508530875E-12</v>
      </c>
      <c r="L38" s="7">
        <f t="shared" si="11"/>
        <v>-5.627998067581075E-12</v>
      </c>
      <c r="M38" s="89">
        <f t="shared" si="11"/>
        <v>-5.632034769109673E-12</v>
      </c>
    </row>
    <row r="39" spans="2:13" ht="12.75">
      <c r="B39" s="127" t="s">
        <v>26</v>
      </c>
      <c r="C39" s="127"/>
      <c r="D39" s="1">
        <f>(-6*D14^2*D13*D37^(2*D13-1)+2*D14*D30*D13*D37^(D13-1)+2)</f>
        <v>2.0019904760415663</v>
      </c>
      <c r="H39" s="1">
        <f aca="true" t="shared" si="12" ref="H39:M39">(-6*H14^2*H13*H37^(2*H13-1)+2*H14*H30*H13*H37^(H13-1)+2)</f>
        <v>2.001985860923292</v>
      </c>
      <c r="I39" s="1">
        <f t="shared" si="12"/>
        <v>2.0022049795700214</v>
      </c>
      <c r="J39" s="1">
        <f t="shared" si="12"/>
        <v>2.00210309402938</v>
      </c>
      <c r="K39" s="1">
        <f t="shared" si="12"/>
        <v>2.002092048035318</v>
      </c>
      <c r="L39" s="1">
        <f t="shared" si="12"/>
        <v>2.0021593274315865</v>
      </c>
      <c r="M39" s="87">
        <f t="shared" si="12"/>
        <v>2.002172894018331</v>
      </c>
    </row>
    <row r="40" spans="2:13" ht="12.75">
      <c r="B40" s="1" t="s">
        <v>28</v>
      </c>
      <c r="D40" s="1">
        <f>D37-D38/D39</f>
        <v>0.002074426426201551</v>
      </c>
      <c r="H40" s="1">
        <f aca="true" t="shared" si="13" ref="H40:M40">H37-H38/H39</f>
        <v>0.0020837548866541665</v>
      </c>
      <c r="I40" s="1">
        <f t="shared" si="13"/>
        <v>0.0020837539516014004</v>
      </c>
      <c r="J40" s="1">
        <f t="shared" si="13"/>
        <v>0.002083795312584774</v>
      </c>
      <c r="K40" s="1">
        <f t="shared" si="13"/>
        <v>0.0020837953742905003</v>
      </c>
      <c r="L40" s="1">
        <f t="shared" si="13"/>
        <v>0.0020837546010707433</v>
      </c>
      <c r="M40" s="87">
        <f t="shared" si="13"/>
        <v>0.0020837546322000004</v>
      </c>
    </row>
    <row r="41" spans="2:13" ht="12.75">
      <c r="B41" s="127" t="s">
        <v>32</v>
      </c>
      <c r="C41" s="127"/>
      <c r="D41" s="7">
        <f>(-3*D14^2*D40^(2*D13)+2*D14*D30*D40^D13+2*D40-D31)</f>
        <v>0</v>
      </c>
      <c r="H41" s="7">
        <f aca="true" t="shared" si="14" ref="H41:M41">(-3*H14^2*H40^(2*H13)+2*H14*H30*H40^H13+2*H40-H31)</f>
        <v>0</v>
      </c>
      <c r="I41" s="7">
        <f t="shared" si="14"/>
        <v>-8.673617379884035E-19</v>
      </c>
      <c r="J41" s="7">
        <f t="shared" si="14"/>
        <v>0</v>
      </c>
      <c r="K41" s="7">
        <f t="shared" si="14"/>
        <v>0</v>
      </c>
      <c r="L41" s="7">
        <f t="shared" si="14"/>
        <v>0</v>
      </c>
      <c r="M41" s="89">
        <f t="shared" si="14"/>
        <v>0</v>
      </c>
    </row>
    <row r="42" spans="2:13" ht="12.75">
      <c r="B42" s="127" t="s">
        <v>26</v>
      </c>
      <c r="C42" s="127"/>
      <c r="D42" s="1">
        <f>(-6*D14^2*D13*D40^(2*D13-1)+2*D14*D30*D13*D40^(D13-1)+2)</f>
        <v>2.0019904760402447</v>
      </c>
      <c r="H42" s="1">
        <f aca="true" t="shared" si="15" ref="H42:M42">(-6*H14^2*H13*H40^(2*H13-1)+2*H14*H30*H13*H40^(H13-1)+2)</f>
        <v>2.0019858609219816</v>
      </c>
      <c r="I42" s="1">
        <f t="shared" si="15"/>
        <v>2.0022049795682033</v>
      </c>
      <c r="J42" s="1">
        <f t="shared" si="15"/>
        <v>2.002103094027945</v>
      </c>
      <c r="K42" s="1">
        <f t="shared" si="15"/>
        <v>2.002092048033911</v>
      </c>
      <c r="L42" s="1">
        <f t="shared" si="15"/>
        <v>2.0021593274300353</v>
      </c>
      <c r="M42" s="87">
        <f t="shared" si="15"/>
        <v>2.002172894016778</v>
      </c>
    </row>
    <row r="43" spans="2:13" ht="12.75">
      <c r="B43" s="1" t="s">
        <v>29</v>
      </c>
      <c r="D43" s="1">
        <f>D40-D41/D42</f>
        <v>0.002074426426201551</v>
      </c>
      <c r="H43" s="1">
        <f aca="true" t="shared" si="16" ref="H43:M43">H40-H41/H42</f>
        <v>0.0020837548866541665</v>
      </c>
      <c r="I43" s="1">
        <f t="shared" si="16"/>
        <v>0.002083753951601401</v>
      </c>
      <c r="J43" s="1">
        <f t="shared" si="16"/>
        <v>0.002083795312584774</v>
      </c>
      <c r="K43" s="1">
        <f t="shared" si="16"/>
        <v>0.0020837953742905003</v>
      </c>
      <c r="L43" s="1">
        <f t="shared" si="16"/>
        <v>0.0020837546010707433</v>
      </c>
      <c r="M43" s="87">
        <f t="shared" si="16"/>
        <v>0.0020837546322000004</v>
      </c>
    </row>
    <row r="44" spans="2:13" ht="12.75">
      <c r="B44" s="4" t="s">
        <v>18</v>
      </c>
      <c r="D44" s="4">
        <f>D14*D43^D13</f>
        <v>0.0003795318455696792</v>
      </c>
      <c r="E44" s="1">
        <f>(D44-D15)/D15*1000</f>
        <v>-1.1005512049500379</v>
      </c>
      <c r="H44" s="4">
        <f aca="true" t="shared" si="17" ref="H44:M44">H14*H43^H13</f>
        <v>0.00038038425090899155</v>
      </c>
      <c r="I44" s="4">
        <f t="shared" si="17"/>
        <v>0.0004103832582293303</v>
      </c>
      <c r="J44" s="4">
        <f t="shared" si="17"/>
        <v>0.000387608194927069</v>
      </c>
      <c r="K44" s="4">
        <f t="shared" si="17"/>
        <v>0.0003876082008955897</v>
      </c>
      <c r="L44" s="4">
        <f t="shared" si="17"/>
        <v>0.000394653666912566</v>
      </c>
      <c r="M44" s="90">
        <f t="shared" si="17"/>
        <v>0.00039465080167450583</v>
      </c>
    </row>
    <row r="45" spans="2:13" ht="12.75">
      <c r="B45" s="4" t="s">
        <v>20</v>
      </c>
      <c r="D45" s="1">
        <f>D30-2*D44</f>
        <v>0.011258977527939416</v>
      </c>
      <c r="H45" s="1">
        <f aca="true" t="shared" si="18" ref="H45:M45">H30-2*H44</f>
        <v>0.011258982380317691</v>
      </c>
      <c r="I45" s="1">
        <f t="shared" si="18"/>
        <v>0.011259182521599891</v>
      </c>
      <c r="J45" s="1">
        <f t="shared" si="18"/>
        <v>0.011259057803440662</v>
      </c>
      <c r="K45" s="1">
        <f t="shared" si="18"/>
        <v>0.01120195829666841</v>
      </c>
      <c r="L45" s="1">
        <f t="shared" si="18"/>
        <v>0.011259106809523878</v>
      </c>
      <c r="M45" s="87">
        <f t="shared" si="18"/>
        <v>0.011259112539999998</v>
      </c>
    </row>
    <row r="46" spans="2:14" s="3" customFormat="1" ht="12.75">
      <c r="B46" s="139" t="s">
        <v>91</v>
      </c>
      <c r="C46" s="8" t="s">
        <v>92</v>
      </c>
      <c r="D46" s="94">
        <f>1000*(D45/$D$10-1)</f>
        <v>1.9379852578416124</v>
      </c>
      <c r="E46" s="94"/>
      <c r="F46" s="94"/>
      <c r="G46" s="94"/>
      <c r="H46" s="94">
        <f>1000*(H45/$D$10-1)</f>
        <v>1.938417071662979</v>
      </c>
      <c r="I46" s="94">
        <f>1000*(I45/$D$10-1)</f>
        <v>1.9562276723643635</v>
      </c>
      <c r="J46" s="94">
        <f>1000*(J45/$D$10-1)</f>
        <v>1.945128985927358</v>
      </c>
      <c r="K46" s="94">
        <f>1000*(K45/$K$10-1)</f>
        <v>1.946145567021107</v>
      </c>
      <c r="L46" s="94">
        <f>1000*(L45/$D$10-1)</f>
        <v>1.9494900441283658</v>
      </c>
      <c r="M46" s="95">
        <f>1000*(M45/$D$10-1)</f>
        <v>1.9499999999998963</v>
      </c>
      <c r="N46" s="94">
        <f>$C$6+2*N17*($C$6-$C$8*N13)</f>
        <v>1.9497185130164607</v>
      </c>
    </row>
    <row r="47" spans="2:14" ht="12.75">
      <c r="B47" s="139"/>
      <c r="C47" s="8" t="s">
        <v>93</v>
      </c>
      <c r="D47" s="94">
        <f>1000*(D43/$D$12-1)</f>
        <v>-2.1998911969453028</v>
      </c>
      <c r="E47" s="96"/>
      <c r="F47" s="96"/>
      <c r="G47" s="96"/>
      <c r="H47" s="94">
        <f aca="true" t="shared" si="19" ref="H47:M47">1000*(H43/H12-1)</f>
        <v>-2.1998781553436153</v>
      </c>
      <c r="I47" s="94">
        <f t="shared" si="19"/>
        <v>-2.200325902710465</v>
      </c>
      <c r="J47" s="94">
        <f t="shared" si="19"/>
        <v>-2.1999149338546298</v>
      </c>
      <c r="K47" s="94">
        <f t="shared" si="19"/>
        <v>-2.1998853868167023</v>
      </c>
      <c r="L47" s="94">
        <f t="shared" si="19"/>
        <v>-2.200014906156511</v>
      </c>
      <c r="M47" s="95">
        <f t="shared" si="19"/>
        <v>-2.1999999999998687</v>
      </c>
      <c r="N47" s="94">
        <f>(C8-0.0021*N46)/0.999044</f>
        <v>-2.1998683952474445</v>
      </c>
    </row>
    <row r="48" spans="2:13" s="10" customFormat="1" ht="12.75">
      <c r="B48" s="9"/>
      <c r="M48" s="91"/>
    </row>
    <row r="49" spans="4:14" ht="12.75">
      <c r="D49" s="1">
        <f>$D$3</f>
        <v>1.95</v>
      </c>
      <c r="H49" s="1">
        <f aca="true" t="shared" si="20" ref="H49:M49">$D$3</f>
        <v>1.95</v>
      </c>
      <c r="I49" s="1">
        <f t="shared" si="20"/>
        <v>1.95</v>
      </c>
      <c r="J49" s="1">
        <f t="shared" si="20"/>
        <v>1.95</v>
      </c>
      <c r="K49" s="1">
        <f t="shared" si="20"/>
        <v>1.95</v>
      </c>
      <c r="L49" s="1">
        <f t="shared" si="20"/>
        <v>1.95</v>
      </c>
      <c r="M49" s="87">
        <f t="shared" si="20"/>
        <v>1.95</v>
      </c>
      <c r="N49" s="1">
        <f>$D$3</f>
        <v>1.95</v>
      </c>
    </row>
    <row r="50" spans="4:14" ht="12.75">
      <c r="D50" s="1">
        <f>$D$4</f>
        <v>-2.2</v>
      </c>
      <c r="H50" s="1">
        <f aca="true" t="shared" si="21" ref="H50:M50">$D$4</f>
        <v>-2.2</v>
      </c>
      <c r="I50" s="1">
        <f t="shared" si="21"/>
        <v>-2.2</v>
      </c>
      <c r="J50" s="1">
        <f t="shared" si="21"/>
        <v>-2.2</v>
      </c>
      <c r="K50" s="1">
        <f t="shared" si="21"/>
        <v>-2.2</v>
      </c>
      <c r="L50" s="1">
        <f t="shared" si="21"/>
        <v>-2.2</v>
      </c>
      <c r="M50" s="87">
        <f t="shared" si="21"/>
        <v>-2.2</v>
      </c>
      <c r="N50" s="1">
        <f>$D$4</f>
        <v>-2.2</v>
      </c>
    </row>
    <row r="51" ht="12.75">
      <c r="M51" s="87"/>
    </row>
    <row r="52" spans="2:14" ht="12.75">
      <c r="B52" s="77" t="s">
        <v>46</v>
      </c>
      <c r="D52" s="1">
        <f>D12*(1+D4/1000)</f>
        <v>0.0020744262000000004</v>
      </c>
      <c r="H52" s="1">
        <f aca="true" t="shared" si="22" ref="H52:N52">H12*(1+H50/1000)</f>
        <v>0.0020837546322000004</v>
      </c>
      <c r="I52" s="1">
        <f t="shared" si="22"/>
        <v>0.0020837546322000004</v>
      </c>
      <c r="J52" s="1">
        <f t="shared" si="22"/>
        <v>0.0020837951349335212</v>
      </c>
      <c r="K52" s="1">
        <f t="shared" si="22"/>
        <v>0.0020837951349335212</v>
      </c>
      <c r="L52" s="1">
        <f t="shared" si="22"/>
        <v>0.0020837546322000004</v>
      </c>
      <c r="M52" s="87">
        <f t="shared" si="22"/>
        <v>0.0020837546322000004</v>
      </c>
      <c r="N52" s="1">
        <f t="shared" si="22"/>
        <v>0.00208380552</v>
      </c>
    </row>
    <row r="53" spans="2:14" ht="12.75">
      <c r="B53" s="1" t="s">
        <v>41</v>
      </c>
      <c r="D53" s="1">
        <f>((1+$D$4/1000)^D13-1)*1000</f>
        <v>-1.1006056664164543</v>
      </c>
      <c r="H53" s="1">
        <f aca="true" t="shared" si="23" ref="H53:M53">((1+$D$4/1000)^H13-1)*1000</f>
        <v>-1.1006056664164543</v>
      </c>
      <c r="I53" s="1">
        <f t="shared" si="23"/>
        <v>-1.1358050391070407</v>
      </c>
      <c r="J53" s="1">
        <f t="shared" si="23"/>
        <v>-1.144604688471662</v>
      </c>
      <c r="K53" s="1">
        <f t="shared" si="23"/>
        <v>-1.144604688471662</v>
      </c>
      <c r="L53" s="1">
        <f t="shared" si="23"/>
        <v>-1.1549441774165725</v>
      </c>
      <c r="M53" s="87">
        <f t="shared" si="23"/>
        <v>-1.1622037546357156</v>
      </c>
      <c r="N53" s="1">
        <f>$C$8*N13</f>
        <v>-1.1582582416332858</v>
      </c>
    </row>
    <row r="54" spans="2:14" ht="12.75">
      <c r="B54" s="1" t="s">
        <v>42</v>
      </c>
      <c r="D54" s="1">
        <f>(1+$D$3/1000)*D$10</f>
        <v>0.011259112539999998</v>
      </c>
      <c r="H54" s="1">
        <f aca="true" t="shared" si="24" ref="H54:N54">(1+$D$3/1000)*H$10</f>
        <v>0.011259112539999998</v>
      </c>
      <c r="I54" s="1">
        <f t="shared" si="24"/>
        <v>0.011259112539999998</v>
      </c>
      <c r="J54" s="1">
        <f t="shared" si="24"/>
        <v>0.011259112539999998</v>
      </c>
      <c r="K54" s="1">
        <f t="shared" si="24"/>
        <v>0.011202001389999999</v>
      </c>
      <c r="L54" s="1">
        <f t="shared" si="24"/>
        <v>0.011259112539999998</v>
      </c>
      <c r="M54" s="87">
        <f t="shared" si="24"/>
        <v>0.011259112539999998</v>
      </c>
      <c r="N54" s="1">
        <f t="shared" si="24"/>
        <v>0.011202001389999999</v>
      </c>
    </row>
    <row r="55" spans="2:14" ht="12.75">
      <c r="B55" s="1" t="s">
        <v>43</v>
      </c>
      <c r="D55" s="1">
        <f>2*(D53/1000+1)*D15</f>
        <v>0.0007590636497540901</v>
      </c>
      <c r="H55" s="1">
        <f aca="true" t="shared" si="25" ref="H55:N55">2*(H53/1000+1)*H15</f>
        <v>0.000760768455368009</v>
      </c>
      <c r="I55" s="1">
        <f t="shared" si="25"/>
        <v>0.0008207666547878763</v>
      </c>
      <c r="J55" s="1">
        <f t="shared" si="25"/>
        <v>0.0007752163554873049</v>
      </c>
      <c r="K55" s="1">
        <f t="shared" si="25"/>
        <v>0.0007752163554873049</v>
      </c>
      <c r="L55" s="1">
        <f t="shared" si="25"/>
        <v>0.0007893073400121219</v>
      </c>
      <c r="M55" s="87">
        <f t="shared" si="25"/>
        <v>0.0007893016033490118</v>
      </c>
      <c r="N55" s="1">
        <f t="shared" si="25"/>
        <v>0.000785285517925845</v>
      </c>
    </row>
    <row r="56" spans="2:14" ht="12.75">
      <c r="B56" s="86" t="s">
        <v>44</v>
      </c>
      <c r="C56" s="86"/>
      <c r="D56" s="86">
        <f>((D54+D55)/(D$10+2*D15)-1)*1000</f>
        <v>1.7567736998180816</v>
      </c>
      <c r="E56" s="86"/>
      <c r="F56" s="86"/>
      <c r="G56" s="86"/>
      <c r="H56" s="86">
        <f aca="true" t="shared" si="26" ref="H56:N56">((H54+H55)/(H$10+2*H15)-1)*1000</f>
        <v>1.7563672724312251</v>
      </c>
      <c r="I56" s="86">
        <f t="shared" si="26"/>
        <v>1.7397315804450475</v>
      </c>
      <c r="J56" s="86">
        <f t="shared" si="26"/>
        <v>1.7500768922285026</v>
      </c>
      <c r="K56" s="86">
        <f t="shared" si="26"/>
        <v>1.7491237869473597</v>
      </c>
      <c r="L56" s="86">
        <f t="shared" si="26"/>
        <v>1.7460003901186294</v>
      </c>
      <c r="M56" s="87">
        <f t="shared" si="26"/>
        <v>1.745523424725448</v>
      </c>
      <c r="N56" s="86">
        <f t="shared" si="26"/>
        <v>1.7457864179222238</v>
      </c>
    </row>
    <row r="57" spans="2:14" ht="12.75">
      <c r="B57" s="86" t="s">
        <v>45</v>
      </c>
      <c r="C57" s="86"/>
      <c r="D57" s="86">
        <f>(((2*D52+D55*D54+D55*D55/4)/D22)-1)*1000</f>
        <v>-2.19375500832808</v>
      </c>
      <c r="E57" s="86"/>
      <c r="F57" s="86"/>
      <c r="G57" s="86"/>
      <c r="H57" s="86">
        <f aca="true" t="shared" si="27" ref="H57:M57">(((2*H52+H55*H54+H55*H55/4)/H22)-1)*1000</f>
        <v>-2.1937689738914523</v>
      </c>
      <c r="I57" s="86">
        <f t="shared" si="27"/>
        <v>-2.193359077122703</v>
      </c>
      <c r="J57" s="86">
        <f t="shared" si="27"/>
        <v>-2.193745755998733</v>
      </c>
      <c r="K57" s="86">
        <f t="shared" si="27"/>
        <v>-2.1937774305381685</v>
      </c>
      <c r="L57" s="86">
        <f t="shared" si="27"/>
        <v>-2.193654940380041</v>
      </c>
      <c r="M57" s="87">
        <f t="shared" si="27"/>
        <v>-2.1936709121842535</v>
      </c>
      <c r="N57" s="86">
        <f>(((2*N52+N55*N54+N55*N55/4)/N23)-1)*1000</f>
        <v>-2.1937265038005638</v>
      </c>
    </row>
    <row r="58" spans="2:14" ht="12.75">
      <c r="B58" s="86" t="s">
        <v>52</v>
      </c>
      <c r="C58" s="86"/>
      <c r="D58" s="86">
        <f>D3-D56</f>
        <v>0.19322630018191833</v>
      </c>
      <c r="E58" s="86"/>
      <c r="F58" s="86"/>
      <c r="G58" s="86"/>
      <c r="H58" s="86">
        <f aca="true" t="shared" si="28" ref="H58:N58">H49-H56</f>
        <v>0.1936327275687748</v>
      </c>
      <c r="I58" s="86">
        <f t="shared" si="28"/>
        <v>0.21026841955495246</v>
      </c>
      <c r="J58" s="86">
        <f t="shared" si="28"/>
        <v>0.19992310777149735</v>
      </c>
      <c r="K58" s="86">
        <f t="shared" si="28"/>
        <v>0.20087621305264025</v>
      </c>
      <c r="L58" s="86">
        <f t="shared" si="28"/>
        <v>0.20399960988137056</v>
      </c>
      <c r="M58" s="87">
        <f t="shared" si="28"/>
        <v>0.20447657527455187</v>
      </c>
      <c r="N58" s="86">
        <f t="shared" si="28"/>
        <v>0.20421358207777618</v>
      </c>
    </row>
    <row r="59" spans="13:14" ht="12.75">
      <c r="M59" s="87"/>
      <c r="N59" s="1">
        <f>N10*N15/2/N12</f>
        <v>0.0010522206043623846</v>
      </c>
    </row>
    <row r="60" spans="2:14" ht="12.75">
      <c r="B60" s="1" t="s">
        <v>89</v>
      </c>
      <c r="M60" s="87"/>
      <c r="N60" s="1">
        <f>$C$8+N59*($C$8-2*$C$6)</f>
        <v>-2.199652489343031</v>
      </c>
    </row>
    <row r="61" spans="2:14" ht="12.75">
      <c r="B61" s="127" t="s">
        <v>51</v>
      </c>
      <c r="C61" s="127"/>
      <c r="D61" s="1">
        <f>D46-D3-($C$6-D56)</f>
        <v>-0.0007644670657540598</v>
      </c>
      <c r="H61" s="1">
        <f aca="true" t="shared" si="29" ref="H61:N61">H46-H49-($C$6-H56)</f>
        <v>-0.0007390806312439491</v>
      </c>
      <c r="I61" s="1">
        <f t="shared" si="29"/>
        <v>0.00043582808396291917</v>
      </c>
      <c r="J61" s="1">
        <f t="shared" si="29"/>
        <v>-0.00031754656958749017</v>
      </c>
      <c r="K61" s="1">
        <f t="shared" si="29"/>
        <v>-0.0002540707569813616</v>
      </c>
      <c r="L61" s="1">
        <f t="shared" si="29"/>
        <v>-3.299047845284342E-05</v>
      </c>
      <c r="M61" s="87">
        <f t="shared" si="29"/>
        <v>-1.0369483049998962E-13</v>
      </c>
      <c r="N61" s="1">
        <f t="shared" si="29"/>
        <v>-1.8493786763551512E-05</v>
      </c>
    </row>
    <row r="62" spans="2:3" ht="12.75">
      <c r="B62" s="127"/>
      <c r="C62" s="127"/>
    </row>
  </sheetData>
  <mergeCells count="14">
    <mergeCell ref="B39:C39"/>
    <mergeCell ref="B41:C41"/>
    <mergeCell ref="B42:C42"/>
    <mergeCell ref="B46:B47"/>
    <mergeCell ref="A1:H1"/>
    <mergeCell ref="B30:C30"/>
    <mergeCell ref="B27:C27"/>
    <mergeCell ref="B3:B4"/>
    <mergeCell ref="B62:C62"/>
    <mergeCell ref="H6:N8"/>
    <mergeCell ref="B35:C35"/>
    <mergeCell ref="B36:C36"/>
    <mergeCell ref="B61:C61"/>
    <mergeCell ref="B38:C38"/>
  </mergeCells>
  <printOptions/>
  <pageMargins left="0.17" right="0.23" top="0.36" bottom="0.35" header="0.17" footer="0.17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5"/>
  <sheetViews>
    <sheetView workbookViewId="0" topLeftCell="A5">
      <selection activeCell="AA44" sqref="AA44"/>
    </sheetView>
  </sheetViews>
  <sheetFormatPr defaultColWidth="9.140625" defaultRowHeight="12.75"/>
  <cols>
    <col min="1" max="1" width="10.7109375" style="0" customWidth="1"/>
    <col min="4" max="4" width="10.421875" style="0" customWidth="1"/>
    <col min="5" max="5" width="11.57421875" style="0" customWidth="1"/>
    <col min="6" max="6" width="12.28125" style="0" customWidth="1"/>
    <col min="7" max="7" width="11.140625" style="0" hidden="1" customWidth="1"/>
    <col min="8" max="8" width="12.140625" style="0" customWidth="1"/>
    <col min="9" max="9" width="14.140625" style="0" customWidth="1"/>
    <col min="13" max="13" width="8.8515625" style="0" customWidth="1"/>
  </cols>
  <sheetData>
    <row r="5" spans="2:5" ht="15.6">
      <c r="B5" s="123" t="s">
        <v>95</v>
      </c>
      <c r="C5" s="124"/>
      <c r="D5" s="124"/>
      <c r="E5" s="124"/>
    </row>
    <row r="6" ht="12.75">
      <c r="B6" s="122" t="s">
        <v>96</v>
      </c>
    </row>
    <row r="9" spans="2:9" ht="12.75">
      <c r="B9" t="s">
        <v>94</v>
      </c>
      <c r="C9" t="s">
        <v>97</v>
      </c>
      <c r="D9" t="s">
        <v>106</v>
      </c>
      <c r="E9" t="s">
        <v>108</v>
      </c>
      <c r="F9" s="111" t="s">
        <v>100</v>
      </c>
      <c r="G9" s="111" t="s">
        <v>98</v>
      </c>
      <c r="H9" s="116" t="s">
        <v>98</v>
      </c>
      <c r="I9" s="117" t="s">
        <v>103</v>
      </c>
    </row>
    <row r="10" spans="6:9" ht="12.75">
      <c r="F10" s="111"/>
      <c r="G10" s="111"/>
      <c r="H10" s="116"/>
      <c r="I10" s="117"/>
    </row>
    <row r="11" spans="1:9" ht="12.75">
      <c r="A11">
        <v>0</v>
      </c>
      <c r="B11">
        <v>0.999857</v>
      </c>
      <c r="C11">
        <v>1.001108</v>
      </c>
      <c r="D11" s="110">
        <f>(C11/C$11-1)+35.6/1000-41/1000</f>
        <v>-0.005400000000000002</v>
      </c>
      <c r="E11" s="110">
        <f>(B11/B$11-1)-9/1000</f>
        <v>-0.009</v>
      </c>
      <c r="F11" s="118">
        <f>E11+2*$D$38*(E11-D11*$D$34)</f>
        <v>-0.00943238607552</v>
      </c>
      <c r="G11" s="111">
        <v>-10.15</v>
      </c>
      <c r="H11" s="116">
        <f>G11/1000</f>
        <v>-0.010150000000000001</v>
      </c>
      <c r="I11" s="117">
        <f>E11+2*$E$38*(E11-D11*$E$34)</f>
        <v>-0.009437794559999999</v>
      </c>
    </row>
    <row r="12" spans="1:9" ht="12.75">
      <c r="A12">
        <f>A11+1</f>
        <v>1</v>
      </c>
      <c r="B12">
        <v>0.996008</v>
      </c>
      <c r="C12">
        <v>0.888515</v>
      </c>
      <c r="D12" s="110">
        <f aca="true" t="shared" si="0" ref="D12:D27">(C12/C$11-1)+35.6/1000-41/1000</f>
        <v>-0.11786838502938751</v>
      </c>
      <c r="E12" s="110">
        <f aca="true" t="shared" si="1" ref="E12:E27">(B12/B$11-1)-9/1000</f>
        <v>-0.012849550485719443</v>
      </c>
      <c r="F12" s="118">
        <f aca="true" t="shared" si="2" ref="F12:F25">E12+2*$D$38*(E12-D12*$D$34)</f>
        <v>-0.009376780568871783</v>
      </c>
      <c r="G12" s="111">
        <v>-10.03</v>
      </c>
      <c r="H12" s="116">
        <f aca="true" t="shared" si="3" ref="H12:H25">G12/1000</f>
        <v>-0.010029999999999999</v>
      </c>
      <c r="I12" s="117">
        <f aca="true" t="shared" si="4" ref="I12:I25">E12+2*$E$38*(E12-D12*$E$34)</f>
        <v>-0.009333341560861885</v>
      </c>
    </row>
    <row r="13" spans="1:9" ht="12.75">
      <c r="A13">
        <f aca="true" t="shared" si="5" ref="A13:A25">A12+1</f>
        <v>2</v>
      </c>
      <c r="B13">
        <v>0.996375</v>
      </c>
      <c r="C13">
        <v>0.897943</v>
      </c>
      <c r="D13" s="110">
        <f t="shared" si="0"/>
        <v>-0.10845081969178155</v>
      </c>
      <c r="E13" s="110">
        <f t="shared" si="1"/>
        <v>-0.012482497997213562</v>
      </c>
      <c r="F13" s="118">
        <f t="shared" si="2"/>
        <v>-0.00933358319826033</v>
      </c>
      <c r="G13" s="111">
        <v>-10.02</v>
      </c>
      <c r="H13" s="116">
        <f t="shared" si="3"/>
        <v>-0.01002</v>
      </c>
      <c r="I13" s="117">
        <f t="shared" si="4"/>
        <v>-0.009294195119450208</v>
      </c>
    </row>
    <row r="14" spans="1:9" ht="12.75">
      <c r="A14">
        <f t="shared" si="5"/>
        <v>3</v>
      </c>
      <c r="B14">
        <v>0.996499</v>
      </c>
      <c r="C14">
        <v>0.900305</v>
      </c>
      <c r="D14" s="110">
        <f t="shared" si="0"/>
        <v>-0.10609143389124859</v>
      </c>
      <c r="E14" s="110">
        <f t="shared" si="1"/>
        <v>-0.012358480262677487</v>
      </c>
      <c r="F14" s="118">
        <f t="shared" si="2"/>
        <v>-0.009288446526339422</v>
      </c>
      <c r="G14" s="111">
        <v>-9.98</v>
      </c>
      <c r="H14" s="116">
        <f t="shared" si="3"/>
        <v>-0.009980000000000001</v>
      </c>
      <c r="I14" s="117">
        <f t="shared" si="4"/>
        <v>-0.009250045128246082</v>
      </c>
    </row>
    <row r="15" spans="1:5" ht="12.75">
      <c r="A15" s="111">
        <f t="shared" si="5"/>
        <v>4</v>
      </c>
      <c r="D15" s="110"/>
      <c r="E15" s="110"/>
    </row>
    <row r="16" spans="1:9" ht="12.75">
      <c r="A16">
        <f t="shared" si="5"/>
        <v>5</v>
      </c>
      <c r="B16">
        <v>0.996495</v>
      </c>
      <c r="C16">
        <v>0.901266</v>
      </c>
      <c r="D16" s="110">
        <f t="shared" si="0"/>
        <v>-0.10513149750076928</v>
      </c>
      <c r="E16" s="110">
        <f t="shared" si="1"/>
        <v>-0.012362480834759318</v>
      </c>
      <c r="F16" s="118">
        <f t="shared" si="2"/>
        <v>-0.009328370062833491</v>
      </c>
      <c r="G16" s="111">
        <v>-10.02</v>
      </c>
      <c r="H16" s="116">
        <f t="shared" si="3"/>
        <v>-0.01002</v>
      </c>
      <c r="I16" s="117">
        <f t="shared" si="4"/>
        <v>-0.00929041800574926</v>
      </c>
    </row>
    <row r="17" spans="1:9" ht="12.75">
      <c r="A17">
        <f t="shared" si="5"/>
        <v>6</v>
      </c>
      <c r="B17">
        <v>0.996647</v>
      </c>
      <c r="C17">
        <v>0.906725</v>
      </c>
      <c r="D17" s="110">
        <f t="shared" si="0"/>
        <v>-0.09967853937836883</v>
      </c>
      <c r="E17" s="110">
        <f t="shared" si="1"/>
        <v>-0.012210459095650763</v>
      </c>
      <c r="F17" s="118">
        <f t="shared" si="2"/>
        <v>-0.009368121909895165</v>
      </c>
      <c r="G17" s="111">
        <v>-10.08</v>
      </c>
      <c r="H17" s="116">
        <f t="shared" si="3"/>
        <v>-0.01008</v>
      </c>
      <c r="I17" s="117">
        <f t="shared" si="4"/>
        <v>-0.00933256864528645</v>
      </c>
    </row>
    <row r="18" spans="1:9" ht="12.75">
      <c r="A18">
        <f t="shared" si="5"/>
        <v>7</v>
      </c>
      <c r="B18">
        <v>0.996855</v>
      </c>
      <c r="C18">
        <v>0.912028</v>
      </c>
      <c r="D18" s="110">
        <f t="shared" si="0"/>
        <v>-0.09438140859927217</v>
      </c>
      <c r="E18" s="110">
        <f t="shared" si="1"/>
        <v>-0.012002429347396584</v>
      </c>
      <c r="F18" s="118">
        <f t="shared" si="2"/>
        <v>-0.009342141502097723</v>
      </c>
      <c r="G18" s="111">
        <v>-10.07</v>
      </c>
      <c r="H18" s="116">
        <f t="shared" si="3"/>
        <v>-0.01007</v>
      </c>
      <c r="I18" s="117">
        <f t="shared" si="4"/>
        <v>-0.009308865394613623</v>
      </c>
    </row>
    <row r="19" spans="1:9" ht="12.75">
      <c r="A19">
        <f t="shared" si="5"/>
        <v>8</v>
      </c>
      <c r="B19">
        <v>0.997078</v>
      </c>
      <c r="C19">
        <v>0.915067</v>
      </c>
      <c r="D19" s="110">
        <f t="shared" si="0"/>
        <v>-0.09134577208453047</v>
      </c>
      <c r="E19" s="110">
        <f t="shared" si="1"/>
        <v>-0.011779397453835818</v>
      </c>
      <c r="F19" s="118">
        <f t="shared" si="2"/>
        <v>-0.009216136584425822</v>
      </c>
      <c r="G19" s="111">
        <v>-9.98</v>
      </c>
      <c r="H19" s="116">
        <f t="shared" si="3"/>
        <v>-0.009980000000000001</v>
      </c>
      <c r="I19" s="117">
        <f t="shared" si="4"/>
        <v>-0.009184074135111924</v>
      </c>
    </row>
    <row r="20" spans="1:9" ht="12.75">
      <c r="A20">
        <f t="shared" si="5"/>
        <v>9</v>
      </c>
      <c r="B20">
        <v>0.997128</v>
      </c>
      <c r="C20">
        <v>0.916327</v>
      </c>
      <c r="D20" s="110">
        <f t="shared" si="0"/>
        <v>-0.0900871666193858</v>
      </c>
      <c r="E20" s="110">
        <f t="shared" si="1"/>
        <v>-0.011729390302813272</v>
      </c>
      <c r="F20" s="118">
        <f t="shared" si="2"/>
        <v>-0.009209343888329122</v>
      </c>
      <c r="G20" s="111">
        <v>-9.95</v>
      </c>
      <c r="H20" s="116">
        <f t="shared" si="3"/>
        <v>-0.009949999999999999</v>
      </c>
      <c r="I20" s="117">
        <f t="shared" si="4"/>
        <v>-0.009177821985351034</v>
      </c>
    </row>
    <row r="21" spans="1:9" ht="12.75">
      <c r="A21">
        <f t="shared" si="5"/>
        <v>10</v>
      </c>
      <c r="B21">
        <v>0.997114</v>
      </c>
      <c r="C21">
        <v>0.91642</v>
      </c>
      <c r="D21" s="110">
        <f t="shared" si="0"/>
        <v>-0.08999426954933946</v>
      </c>
      <c r="E21" s="110">
        <f t="shared" si="1"/>
        <v>-0.011743392305099678</v>
      </c>
      <c r="F21" s="118">
        <f t="shared" si="2"/>
        <v>-0.009227779708234837</v>
      </c>
      <c r="G21" s="111">
        <v>-9.96</v>
      </c>
      <c r="H21" s="116">
        <f t="shared" si="3"/>
        <v>-0.00996</v>
      </c>
      <c r="I21" s="117">
        <f t="shared" si="4"/>
        <v>-0.009196313265492728</v>
      </c>
    </row>
    <row r="22" spans="1:9" ht="12.75">
      <c r="A22">
        <f t="shared" si="5"/>
        <v>11</v>
      </c>
      <c r="B22">
        <v>0.997289</v>
      </c>
      <c r="C22">
        <v>0.919115</v>
      </c>
      <c r="D22" s="110">
        <f t="shared" si="0"/>
        <v>-0.08730225230444681</v>
      </c>
      <c r="E22" s="110">
        <f t="shared" si="1"/>
        <v>-0.011568367276520544</v>
      </c>
      <c r="F22" s="118">
        <f t="shared" si="2"/>
        <v>-0.009140399218794979</v>
      </c>
      <c r="G22" s="111">
        <v>-10.05</v>
      </c>
      <c r="H22" s="116">
        <f t="shared" si="3"/>
        <v>-0.01005</v>
      </c>
      <c r="I22" s="117">
        <f t="shared" si="4"/>
        <v>-0.009110029074376354</v>
      </c>
    </row>
    <row r="23" spans="1:9" ht="12.75">
      <c r="A23">
        <f t="shared" si="5"/>
        <v>12</v>
      </c>
      <c r="B23">
        <v>0.997242</v>
      </c>
      <c r="C23">
        <v>0.91941</v>
      </c>
      <c r="D23" s="110">
        <f t="shared" si="0"/>
        <v>-0.08700757880268677</v>
      </c>
      <c r="E23" s="110">
        <f t="shared" si="1"/>
        <v>-0.011615373998481773</v>
      </c>
      <c r="F23" s="118">
        <f t="shared" si="2"/>
        <v>-0.009201652455142163</v>
      </c>
      <c r="G23" s="111">
        <v>-9.94</v>
      </c>
      <c r="H23" s="116">
        <f t="shared" si="3"/>
        <v>-0.00994</v>
      </c>
      <c r="I23" s="117">
        <f t="shared" si="4"/>
        <v>-0.00917146051269699</v>
      </c>
    </row>
    <row r="24" spans="1:9" ht="12.75">
      <c r="A24">
        <f t="shared" si="5"/>
        <v>13</v>
      </c>
      <c r="B24">
        <v>1.00005</v>
      </c>
      <c r="C24">
        <v>0.999867</v>
      </c>
      <c r="D24" s="110">
        <f t="shared" si="0"/>
        <v>-0.006639626493845016</v>
      </c>
      <c r="E24" s="110">
        <f t="shared" si="1"/>
        <v>-0.008806972397052628</v>
      </c>
      <c r="F24" s="118">
        <f t="shared" si="2"/>
        <v>-0.009179758390008301</v>
      </c>
      <c r="G24" s="111">
        <v>-10.05</v>
      </c>
      <c r="H24" s="116">
        <f t="shared" si="3"/>
        <v>-0.01005</v>
      </c>
      <c r="I24" s="117">
        <f t="shared" si="4"/>
        <v>-0.009184421369163764</v>
      </c>
    </row>
    <row r="25" spans="1:9" ht="12.75">
      <c r="A25">
        <f t="shared" si="5"/>
        <v>14</v>
      </c>
      <c r="B25">
        <v>1.000953</v>
      </c>
      <c r="C25">
        <v>1.02608</v>
      </c>
      <c r="D25" s="110">
        <f t="shared" si="0"/>
        <v>0.019544361647294853</v>
      </c>
      <c r="E25" s="110">
        <f t="shared" si="1"/>
        <v>-0.007903843249584699</v>
      </c>
      <c r="F25" s="118">
        <f t="shared" si="2"/>
        <v>-0.00918531061802992</v>
      </c>
      <c r="G25" s="111">
        <v>-10.07</v>
      </c>
      <c r="H25" s="116">
        <f t="shared" si="3"/>
        <v>-0.01007</v>
      </c>
      <c r="I25" s="117">
        <f t="shared" si="4"/>
        <v>-0.009201339802978874</v>
      </c>
    </row>
    <row r="26" spans="4:5" ht="12.75">
      <c r="D26" s="110"/>
      <c r="E26" s="110"/>
    </row>
    <row r="27" spans="1:9" ht="12.75">
      <c r="A27" s="111" t="s">
        <v>104</v>
      </c>
      <c r="B27">
        <v>0.996168</v>
      </c>
      <c r="C27">
        <v>0.900698</v>
      </c>
      <c r="D27" s="110">
        <f t="shared" si="0"/>
        <v>-0.10569886885331065</v>
      </c>
      <c r="E27" s="110">
        <f t="shared" si="1"/>
        <v>-0.012689527602447117</v>
      </c>
      <c r="F27" s="110">
        <f>E27+2*$D$38*(E27-D27*$D$34)</f>
        <v>-0.009657348861961321</v>
      </c>
      <c r="H27">
        <v>-0.01035</v>
      </c>
      <c r="I27">
        <f>E27+2*$E$38*(E27-D27*$E$34)</f>
        <v>-0.009619420971617533</v>
      </c>
    </row>
    <row r="30" spans="4:6" ht="12.75">
      <c r="D30" t="s">
        <v>102</v>
      </c>
      <c r="E30" s="112" t="s">
        <v>99</v>
      </c>
      <c r="F30" s="114" t="s">
        <v>6</v>
      </c>
    </row>
    <row r="31" spans="2:6" ht="12.75">
      <c r="B31" s="1" t="s">
        <v>1</v>
      </c>
      <c r="C31" s="1"/>
      <c r="D31" s="1">
        <v>0.0111802</v>
      </c>
      <c r="E31" s="113">
        <v>0.0111802</v>
      </c>
      <c r="F31" s="115">
        <v>0.0111802</v>
      </c>
    </row>
    <row r="32" spans="2:6" ht="12.75">
      <c r="B32" s="1" t="s">
        <v>3</v>
      </c>
      <c r="C32" s="1"/>
      <c r="D32" s="1"/>
      <c r="E32" s="112"/>
      <c r="F32" s="114"/>
    </row>
    <row r="33" spans="2:6" ht="12.75">
      <c r="B33" s="1" t="s">
        <v>15</v>
      </c>
      <c r="C33" s="1"/>
      <c r="D33" s="1">
        <v>0.0020884</v>
      </c>
      <c r="E33" s="112"/>
      <c r="F33" s="114"/>
    </row>
    <row r="34" spans="2:6" ht="12.75">
      <c r="B34" s="1" t="s">
        <v>19</v>
      </c>
      <c r="C34" s="1"/>
      <c r="D34" s="1">
        <v>0.528</v>
      </c>
      <c r="E34" s="113">
        <v>0.528</v>
      </c>
      <c r="F34" s="115">
        <v>0.516</v>
      </c>
    </row>
    <row r="35" spans="2:6" ht="12.75">
      <c r="B35" s="1" t="s">
        <v>22</v>
      </c>
      <c r="C35" s="4"/>
      <c r="D35" s="1">
        <f>(D36*D33^-D34)</f>
        <v>0.010224434190949493</v>
      </c>
      <c r="E35" s="112"/>
      <c r="F35" s="114">
        <v>0.0099235</v>
      </c>
    </row>
    <row r="36" spans="2:6" ht="12.75">
      <c r="B36" s="1" t="s">
        <v>16</v>
      </c>
      <c r="C36" s="1"/>
      <c r="D36" s="1">
        <f>D31*D38</f>
        <v>0.00039309806804</v>
      </c>
      <c r="E36" s="112">
        <f>E38*E31</f>
        <v>0.00039801512</v>
      </c>
      <c r="F36" s="114"/>
    </row>
    <row r="37" spans="2:6" ht="12.75">
      <c r="B37" s="1" t="s">
        <v>10</v>
      </c>
      <c r="C37" s="1"/>
      <c r="D37" s="1">
        <v>0.00038672</v>
      </c>
      <c r="E37" s="112"/>
      <c r="F37" s="114">
        <v>0.000402</v>
      </c>
    </row>
    <row r="38" spans="2:6" ht="12.75">
      <c r="B38" s="3" t="s">
        <v>88</v>
      </c>
      <c r="C38" s="3"/>
      <c r="D38" s="3">
        <v>0.0351602</v>
      </c>
      <c r="E38" s="119">
        <v>0.0356</v>
      </c>
      <c r="F38" s="120">
        <f>F37*D36/D37/F31</f>
        <v>0.03654944249069094</v>
      </c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3:4" ht="12.75">
      <c r="C47" s="1"/>
      <c r="D47" s="1"/>
    </row>
    <row r="48" spans="2:4" ht="12.75">
      <c r="B48" s="127"/>
      <c r="C48" s="127"/>
      <c r="D48" s="1"/>
    </row>
    <row r="51" ht="12.75">
      <c r="B51" s="77" t="s">
        <v>101</v>
      </c>
    </row>
    <row r="52" ht="12.75">
      <c r="B52" s="121" t="s">
        <v>105</v>
      </c>
    </row>
    <row r="54" ht="12.75">
      <c r="B54" t="s">
        <v>107</v>
      </c>
    </row>
    <row r="55" ht="12.75">
      <c r="B55" t="s">
        <v>109</v>
      </c>
    </row>
  </sheetData>
  <mergeCells count="1">
    <mergeCell ref="B48:C48"/>
  </mergeCells>
  <hyperlinks>
    <hyperlink ref="B52" r:id="rId1" display="http://www.bgc.mpg.de/service/iso_gas_lab/publications/17Ocorr_Brand_Assonov_Coplen_submitted_to_PAC.pdf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 topLeftCell="A1">
      <pane xSplit="2" ySplit="7" topLeftCell="C16" activePane="bottomRight" state="frozen"/>
      <selection pane="topRight" activeCell="C1" sqref="C1"/>
      <selection pane="bottomLeft" activeCell="A8" sqref="A8"/>
      <selection pane="bottomRight" activeCell="A57" sqref="A57"/>
    </sheetView>
  </sheetViews>
  <sheetFormatPr defaultColWidth="9.140625" defaultRowHeight="12.75"/>
  <cols>
    <col min="1" max="1" width="44.421875" style="18" customWidth="1"/>
    <col min="2" max="2" width="15.8515625" style="18" customWidth="1"/>
    <col min="3" max="3" width="10.140625" style="75" customWidth="1"/>
    <col min="4" max="4" width="9.28125" style="18" customWidth="1"/>
    <col min="5" max="5" width="9.00390625" style="18" customWidth="1"/>
    <col min="6" max="6" width="11.00390625" style="18" customWidth="1"/>
    <col min="7" max="7" width="13.140625" style="18" bestFit="1" customWidth="1"/>
    <col min="8" max="8" width="15.140625" style="18" customWidth="1"/>
    <col min="9" max="9" width="13.57421875" style="18" customWidth="1"/>
    <col min="10" max="10" width="10.57421875" style="18" customWidth="1"/>
    <col min="11" max="11" width="12.28125" style="18" customWidth="1"/>
    <col min="12" max="12" width="11.00390625" style="18" customWidth="1"/>
    <col min="13" max="16384" width="9.140625" style="18" customWidth="1"/>
  </cols>
  <sheetData>
    <row r="1" spans="1:7" ht="17.4" customHeight="1">
      <c r="A1" s="140" t="s">
        <v>54</v>
      </c>
      <c r="B1" s="141"/>
      <c r="C1" s="16"/>
      <c r="D1" s="17"/>
      <c r="E1" s="17"/>
      <c r="F1" s="17"/>
      <c r="G1" s="17"/>
    </row>
    <row r="2" spans="1:6" ht="11.25">
      <c r="A2" s="19" t="s">
        <v>57</v>
      </c>
      <c r="B2" s="20">
        <v>1.95</v>
      </c>
      <c r="C2" s="16"/>
      <c r="D2" s="17"/>
      <c r="E2" s="17"/>
      <c r="F2" s="17"/>
    </row>
    <row r="3" spans="1:6" ht="11.25">
      <c r="A3" s="19" t="s">
        <v>58</v>
      </c>
      <c r="B3" s="20">
        <v>-2.2</v>
      </c>
      <c r="C3" s="16"/>
      <c r="D3" s="17"/>
      <c r="E3" s="17"/>
      <c r="F3" s="17"/>
    </row>
    <row r="4" spans="1:3" ht="11.25">
      <c r="A4" s="21" t="s">
        <v>59</v>
      </c>
      <c r="B4" s="85">
        <f>L49</f>
        <v>1.745523424725448</v>
      </c>
      <c r="C4" s="22"/>
    </row>
    <row r="5" spans="1:3" ht="11.25">
      <c r="A5" s="21" t="s">
        <v>60</v>
      </c>
      <c r="B5" s="85">
        <f>L50</f>
        <v>-2.1936709121842535</v>
      </c>
      <c r="C5" s="22"/>
    </row>
    <row r="6" spans="1:12" ht="12.75">
      <c r="A6" s="23"/>
      <c r="B6" s="24"/>
      <c r="C6" s="22"/>
      <c r="G6" s="25"/>
      <c r="H6" s="26"/>
      <c r="I6" s="26"/>
      <c r="J6" s="25"/>
      <c r="K6" s="25"/>
      <c r="L6" s="25"/>
    </row>
    <row r="7" spans="1:12" s="32" customFormat="1" ht="21" thickBot="1">
      <c r="A7" s="27" t="s">
        <v>61</v>
      </c>
      <c r="B7" s="28" t="s">
        <v>0</v>
      </c>
      <c r="C7" s="29" t="s">
        <v>2</v>
      </c>
      <c r="D7" s="30" t="s">
        <v>17</v>
      </c>
      <c r="E7" s="30" t="s">
        <v>4</v>
      </c>
      <c r="F7" s="30" t="s">
        <v>5</v>
      </c>
      <c r="G7" s="30" t="s">
        <v>6</v>
      </c>
      <c r="H7" s="31" t="s">
        <v>62</v>
      </c>
      <c r="I7" s="30" t="s">
        <v>63</v>
      </c>
      <c r="J7" s="30" t="s">
        <v>7</v>
      </c>
      <c r="K7" s="30" t="s">
        <v>8</v>
      </c>
      <c r="L7" s="78" t="s">
        <v>9</v>
      </c>
    </row>
    <row r="8" spans="1:12" ht="10.8" thickTop="1">
      <c r="A8" s="33" t="s">
        <v>1</v>
      </c>
      <c r="B8" s="34">
        <v>0.0112372</v>
      </c>
      <c r="C8" s="35">
        <v>0.0111802</v>
      </c>
      <c r="D8" s="36"/>
      <c r="E8" s="36"/>
      <c r="F8" s="36">
        <v>0.0112372</v>
      </c>
      <c r="G8" s="36">
        <v>0.0112372</v>
      </c>
      <c r="H8" s="36">
        <v>0.0112372</v>
      </c>
      <c r="I8" s="36">
        <v>0.0111802</v>
      </c>
      <c r="J8" s="36"/>
      <c r="K8" s="36">
        <v>0.0112372</v>
      </c>
      <c r="L8" s="79">
        <v>0.0112372</v>
      </c>
    </row>
    <row r="9" spans="1:12" ht="20.4">
      <c r="A9" s="37" t="s">
        <v>3</v>
      </c>
      <c r="B9" s="38"/>
      <c r="C9" s="39"/>
      <c r="D9" s="40"/>
      <c r="E9" s="40">
        <v>0.0020052</v>
      </c>
      <c r="F9" s="40"/>
      <c r="G9" s="40"/>
      <c r="H9" s="40"/>
      <c r="I9" s="40"/>
      <c r="J9" s="40"/>
      <c r="K9" s="41" t="s">
        <v>39</v>
      </c>
      <c r="L9" s="80"/>
    </row>
    <row r="10" spans="1:12" ht="12.75">
      <c r="A10" s="37" t="s">
        <v>15</v>
      </c>
      <c r="B10" s="38">
        <v>0.002079</v>
      </c>
      <c r="C10" s="39"/>
      <c r="D10" s="40"/>
      <c r="E10" s="40"/>
      <c r="F10" s="40">
        <v>0.002088349</v>
      </c>
      <c r="G10" s="40">
        <v>0.002088349</v>
      </c>
      <c r="H10" s="40">
        <f>($E$9*1.03092)*1.01025</f>
        <v>0.0020883895920360005</v>
      </c>
      <c r="I10" s="40">
        <f>($E$9*1.03092)*1.01025</f>
        <v>0.0020883895920360005</v>
      </c>
      <c r="J10" s="40"/>
      <c r="K10" s="40">
        <v>0.002088349</v>
      </c>
      <c r="L10" s="80">
        <v>0.002088349</v>
      </c>
    </row>
    <row r="11" spans="1:12" ht="12.75">
      <c r="A11" s="37" t="s">
        <v>64</v>
      </c>
      <c r="B11" s="42">
        <v>0.5</v>
      </c>
      <c r="C11" s="39"/>
      <c r="D11" s="40"/>
      <c r="E11" s="40"/>
      <c r="F11" s="43">
        <v>0.5</v>
      </c>
      <c r="G11" s="43">
        <v>0.516</v>
      </c>
      <c r="H11" s="43">
        <v>0.52</v>
      </c>
      <c r="I11" s="43">
        <v>0.52</v>
      </c>
      <c r="J11" s="40">
        <v>0.5281</v>
      </c>
      <c r="K11" s="43">
        <v>0.5247</v>
      </c>
      <c r="L11" s="81">
        <v>0.528</v>
      </c>
    </row>
    <row r="12" spans="1:12" ht="11.4">
      <c r="A12" s="37" t="s">
        <v>65</v>
      </c>
      <c r="B12" s="38">
        <f>(B13/B10^(B11))</f>
        <v>0.008332958216665473</v>
      </c>
      <c r="C12" s="39"/>
      <c r="D12" s="40"/>
      <c r="E12" s="40"/>
      <c r="F12" s="40">
        <f>(F13*F10^-F11)</f>
        <v>0.008332958363640949</v>
      </c>
      <c r="G12" s="40">
        <v>0.0099235</v>
      </c>
      <c r="H12" s="40">
        <f>(H13*H10^(-H11))</f>
        <v>0.009607011729357</v>
      </c>
      <c r="I12" s="40">
        <f>(I13*I10^-I11)</f>
        <v>0.009607011729357</v>
      </c>
      <c r="J12" s="40"/>
      <c r="K12" s="40">
        <f>(K13*K10^-K11)</f>
        <v>0.010069718875608293</v>
      </c>
      <c r="L12" s="80">
        <f>(L13*L10^-L11)</f>
        <v>0.010276896814844432</v>
      </c>
    </row>
    <row r="13" spans="1:12" ht="12.75">
      <c r="A13" s="37" t="s">
        <v>16</v>
      </c>
      <c r="B13" s="42">
        <v>0.00037995</v>
      </c>
      <c r="C13" s="44"/>
      <c r="D13" s="43"/>
      <c r="E13" s="43"/>
      <c r="F13" s="43">
        <v>0.000380803342</v>
      </c>
      <c r="G13" s="43">
        <f>G10^G11*G12</f>
        <v>0.0004108499728634334</v>
      </c>
      <c r="H13" s="43">
        <f>0.000386*1.01025^H11</f>
        <v>0.0003880523442762835</v>
      </c>
      <c r="I13" s="43">
        <f>0.000386*1.01025^I11</f>
        <v>0.0003880523442762835</v>
      </c>
      <c r="J13" s="43"/>
      <c r="K13" s="43">
        <v>0.00039511</v>
      </c>
      <c r="L13" s="81">
        <v>0.00039511</v>
      </c>
    </row>
    <row r="14" spans="1:12" ht="12.75">
      <c r="A14" s="37" t="s">
        <v>10</v>
      </c>
      <c r="B14" s="38"/>
      <c r="C14" s="39"/>
      <c r="D14" s="40">
        <v>0.0003799</v>
      </c>
      <c r="E14" s="40"/>
      <c r="F14" s="40"/>
      <c r="G14" s="40"/>
      <c r="H14" s="40">
        <v>0.0003818368</v>
      </c>
      <c r="I14" s="40">
        <v>0.0003799</v>
      </c>
      <c r="J14" s="40"/>
      <c r="K14" s="40">
        <v>0.00038672</v>
      </c>
      <c r="L14" s="80">
        <v>0.00038672</v>
      </c>
    </row>
    <row r="15" spans="1:12" ht="12.75">
      <c r="A15" s="37"/>
      <c r="B15" s="38"/>
      <c r="C15" s="39"/>
      <c r="D15" s="40"/>
      <c r="E15" s="40"/>
      <c r="F15" s="40"/>
      <c r="G15" s="40"/>
      <c r="H15" s="40"/>
      <c r="I15" s="40"/>
      <c r="J15" s="40"/>
      <c r="K15" s="40"/>
      <c r="L15" s="80"/>
    </row>
    <row r="16" spans="1:12" ht="12.75">
      <c r="A16" s="37" t="s">
        <v>11</v>
      </c>
      <c r="B16" s="38">
        <f>$B$8+2*B13</f>
        <v>0.0119971</v>
      </c>
      <c r="C16" s="39"/>
      <c r="D16" s="40"/>
      <c r="E16" s="40"/>
      <c r="F16" s="40">
        <f>$B$8+2*F13</f>
        <v>0.011998806684</v>
      </c>
      <c r="G16" s="40">
        <f>$B$8+2*G13</f>
        <v>0.012058899945726866</v>
      </c>
      <c r="H16" s="40">
        <f>$B$8+2*H13</f>
        <v>0.012013304688552566</v>
      </c>
      <c r="I16" s="40">
        <f>$I$8+2*I13</f>
        <v>0.011956304688552567</v>
      </c>
      <c r="J16" s="40"/>
      <c r="K16" s="40">
        <f>$B$8+2*K13</f>
        <v>0.012027419999999999</v>
      </c>
      <c r="L16" s="80">
        <f>$B$8+2*L13</f>
        <v>0.012027419999999999</v>
      </c>
    </row>
    <row r="17" spans="1:12" ht="12.75">
      <c r="A17" s="37" t="s">
        <v>12</v>
      </c>
      <c r="B17" s="38">
        <f>$C$8+2*B13</f>
        <v>0.011940099999999999</v>
      </c>
      <c r="C17" s="39"/>
      <c r="D17" s="40"/>
      <c r="E17" s="40"/>
      <c r="F17" s="40">
        <f>$C$8+2*F13</f>
        <v>0.011941806684</v>
      </c>
      <c r="G17" s="40">
        <f>$C$8+2*G13</f>
        <v>0.012001899945726867</v>
      </c>
      <c r="H17" s="40">
        <f>$C$8+2*H13</f>
        <v>0.011956304688552567</v>
      </c>
      <c r="I17" s="40">
        <f>$C$8+2*I13</f>
        <v>0.011956304688552567</v>
      </c>
      <c r="J17" s="40"/>
      <c r="K17" s="40">
        <f>$C$8+2*K13</f>
        <v>0.011970419999999999</v>
      </c>
      <c r="L17" s="80">
        <f>$C$8+2*L13</f>
        <v>0.011970419999999999</v>
      </c>
    </row>
    <row r="18" spans="1:12" ht="12.75">
      <c r="A18" s="37" t="s">
        <v>13</v>
      </c>
      <c r="B18" s="38">
        <f>2*B10+2*B13*$B$8+B13*B13</f>
        <v>0.0041666835102825</v>
      </c>
      <c r="C18" s="39"/>
      <c r="D18" s="40"/>
      <c r="E18" s="40"/>
      <c r="F18" s="40">
        <f>2*F10+2*F13*$B$8+F13*F13</f>
        <v>0.004185401337814723</v>
      </c>
      <c r="G18" s="40">
        <f>2*G10+2*G13*$B$8+G13*G13</f>
        <v>0.004186100404330324</v>
      </c>
      <c r="H18" s="40">
        <f>2*H10+2*H13*$B$8+H13*H13</f>
        <v>0.004185651012300102</v>
      </c>
      <c r="I18" s="40">
        <f>2*I10+2*I13*$I$8+I13*I13</f>
        <v>0.004185606774332855</v>
      </c>
      <c r="J18" s="40"/>
      <c r="K18" s="40">
        <f>2*K10+2*K13*$B$8+K13*K13</f>
        <v>0.0041857339720961</v>
      </c>
      <c r="L18" s="80">
        <f>2*L10+2*L13*$B$8+L13*L13</f>
        <v>0.0041857339720961</v>
      </c>
    </row>
    <row r="19" spans="1:12" ht="12.75">
      <c r="A19" s="37" t="s">
        <v>14</v>
      </c>
      <c r="B19" s="38">
        <f>2*B10+2*B13*$C$8+B13*B13</f>
        <v>0.0041666401959825</v>
      </c>
      <c r="C19" s="39"/>
      <c r="D19" s="40"/>
      <c r="E19" s="40"/>
      <c r="F19" s="40">
        <f>2*F10+2*F13*$C$8+F13*F13</f>
        <v>0.004185357926233735</v>
      </c>
      <c r="G19" s="40">
        <f>2*G10+2*G13*$C$8+G13*G13</f>
        <v>0.0041860535674334174</v>
      </c>
      <c r="H19" s="40">
        <f>2*H10+2*H13*$C$8+H13*H13</f>
        <v>0.004185606774332855</v>
      </c>
      <c r="I19" s="40">
        <f>2*I10+2*I13*$C$8+I13*I13</f>
        <v>0.004185606774332855</v>
      </c>
      <c r="J19" s="40"/>
      <c r="K19" s="40">
        <f>2*K10+2*K13*$C$8+K13*K13</f>
        <v>0.0041856889295561</v>
      </c>
      <c r="L19" s="80">
        <f>2*L10+2*L13*$C$8+L13*L13</f>
        <v>0.0041856889295561</v>
      </c>
    </row>
    <row r="20" spans="1:12" ht="12.75">
      <c r="A20" s="37"/>
      <c r="B20" s="38"/>
      <c r="C20" s="39"/>
      <c r="D20" s="40"/>
      <c r="E20" s="40"/>
      <c r="F20" s="40"/>
      <c r="G20" s="40"/>
      <c r="H20" s="40"/>
      <c r="I20" s="40"/>
      <c r="J20" s="40"/>
      <c r="K20" s="40"/>
      <c r="L20" s="80"/>
    </row>
    <row r="21" spans="1:12" ht="12.75">
      <c r="A21" s="45" t="s">
        <v>82</v>
      </c>
      <c r="B21" s="46">
        <f>B16/$B$8*$B$4-B13/$B$8*$B$5</f>
        <v>1.9377339854997762</v>
      </c>
      <c r="C21" s="39"/>
      <c r="D21" s="40"/>
      <c r="E21" s="40"/>
      <c r="F21" s="40">
        <f>F16/$B$8*$B$4-F13/$B$8*$B$5</f>
        <v>1.9381656774180607</v>
      </c>
      <c r="G21" s="40">
        <f>G16/$B$8*$B$4-G13/$B$8*$B$5</f>
        <v>1.9533657820835157</v>
      </c>
      <c r="H21" s="40">
        <f>H16/$B$8*$B$4-H13/$B$8*$B$5</f>
        <v>1.9418328304449821</v>
      </c>
      <c r="I21" s="40">
        <f>I16/$B$8*$B$4-I13/$B$8*$B$5</f>
        <v>1.9329787711411208</v>
      </c>
      <c r="J21" s="40"/>
      <c r="K21" s="40">
        <f>K16/$B$8*$B$4-K13/$B$8*$B$5</f>
        <v>1.9454031843452524</v>
      </c>
      <c r="L21" s="80">
        <f>L16/$B$8*$B$4-L13/$B$8*$B$5</f>
        <v>1.9454031843452524</v>
      </c>
    </row>
    <row r="22" spans="1:12" ht="12.75">
      <c r="A22" s="45" t="s">
        <v>83</v>
      </c>
      <c r="B22" s="46">
        <f>1.0676*$B$4-0.0338*$B$5</f>
        <v>1.9376668850687164</v>
      </c>
      <c r="C22" s="39"/>
      <c r="D22" s="40"/>
      <c r="E22" s="40"/>
      <c r="F22" s="40"/>
      <c r="G22" s="40"/>
      <c r="H22" s="40"/>
      <c r="I22" s="40"/>
      <c r="J22" s="40"/>
      <c r="K22" s="40"/>
      <c r="L22" s="80"/>
    </row>
    <row r="23" spans="1:12" ht="12.75">
      <c r="A23" s="47" t="s">
        <v>66</v>
      </c>
      <c r="B23" s="46">
        <f>B16/$B$8*$B$4-1000*B13/$B$8*($B$5/1000-($B$5/1000)^2/8)</f>
        <v>1.937754324111456</v>
      </c>
      <c r="C23" s="39"/>
      <c r="D23" s="40"/>
      <c r="E23" s="40"/>
      <c r="F23" s="40">
        <f>F16/$B$8*$B$4-1000*F13/$B$8*($B$5/1000-($B$5/1000)^2/8)</f>
        <v>1.9381860617088866</v>
      </c>
      <c r="G23" s="40">
        <f>G16/$B$8*$B$4-1000*G13/$B$8*($B$5/1000-($B$5/1000)^2/8)</f>
        <v>1.9533877747616493</v>
      </c>
      <c r="H23" s="40">
        <f>H16/$B$8*$B$4-1000*H13/$B$8*($B$5/1000-($B$5/1000)^2/8)</f>
        <v>1.9418536027727666</v>
      </c>
      <c r="I23" s="40">
        <f>I16/$B$8*$B$4-1000*I13/$B$8*($B$5/1000-($B$5/1000)^2/8)</f>
        <v>1.9329995434689053</v>
      </c>
      <c r="J23" s="40"/>
      <c r="K23" s="40">
        <f>K16/$B$8*$B$4-1000*K13/$B$8*($B$5/1000-($B$5/1000)^2/8)</f>
        <v>1.9454243344672708</v>
      </c>
      <c r="L23" s="80">
        <f>L16/$B$8*$B$4-1000*L13/$B$8*($B$5/1000-($B$5/1000)^2/8)</f>
        <v>1.9454243344672708</v>
      </c>
    </row>
    <row r="24" spans="1:12" ht="12.75">
      <c r="A24" s="48"/>
      <c r="B24" s="38"/>
      <c r="C24" s="39"/>
      <c r="D24" s="40"/>
      <c r="E24" s="40"/>
      <c r="F24" s="40"/>
      <c r="G24" s="40"/>
      <c r="H24" s="40"/>
      <c r="I24" s="40"/>
      <c r="J24" s="40"/>
      <c r="K24" s="40"/>
      <c r="L24" s="80"/>
    </row>
    <row r="25" spans="1:12" ht="12.75">
      <c r="A25" s="49" t="s">
        <v>84</v>
      </c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80"/>
    </row>
    <row r="26" spans="1:12" ht="12.75">
      <c r="A26" s="50" t="s">
        <v>67</v>
      </c>
      <c r="B26" s="38">
        <f>($B$4/1000+1)*B16</f>
        <v>0.012018041219078774</v>
      </c>
      <c r="C26" s="39"/>
      <c r="D26" s="40"/>
      <c r="E26" s="40"/>
      <c r="F26" s="40">
        <f>($B$4/1000+1)*F16</f>
        <v>0.012019750882135674</v>
      </c>
      <c r="G26" s="40">
        <f>($B$4/1000+1)*G16</f>
        <v>0.012079949038058552</v>
      </c>
      <c r="H26" s="40">
        <f>($B$4/1000+1)*H16</f>
        <v>0.0120342741932948</v>
      </c>
      <c r="I26" s="40">
        <f>($B$4/1000+1)*I16</f>
        <v>0.011977174698459589</v>
      </c>
      <c r="J26" s="40"/>
      <c r="K26" s="40">
        <f>($B$4/1000+1)*K16</f>
        <v>0.01204841414334901</v>
      </c>
      <c r="L26" s="80">
        <f>($B$4/1000+1)*L16</f>
        <v>0.01204841414334901</v>
      </c>
    </row>
    <row r="27" spans="1:12" ht="12.75">
      <c r="A27" s="51" t="s">
        <v>86</v>
      </c>
      <c r="B27" s="38">
        <f>($B$5/1000+1)*B18</f>
        <v>0.004157543177865716</v>
      </c>
      <c r="C27" s="39"/>
      <c r="D27" s="40"/>
      <c r="E27" s="40"/>
      <c r="F27" s="40">
        <f>($B$5/1000+1)*F18</f>
        <v>0.004176219944644142</v>
      </c>
      <c r="G27" s="40">
        <f>($B$5/1000+1)*G18</f>
        <v>0.004176917477637862</v>
      </c>
      <c r="H27" s="40">
        <f>($B$5/1000+1)*H18</f>
        <v>0.004176469071425865</v>
      </c>
      <c r="I27" s="40">
        <f>($B$5/1000+1)*I18</f>
        <v>0.00417642493050216</v>
      </c>
      <c r="J27" s="40"/>
      <c r="K27" s="40">
        <f>($B$5/1000+1)*K18</f>
        <v>0.004176551849235372</v>
      </c>
      <c r="L27" s="80">
        <f>($B$5/1000+1)*L18</f>
        <v>0.004176551849235372</v>
      </c>
    </row>
    <row r="28" spans="1:12" ht="11.4">
      <c r="A28" s="52" t="s">
        <v>68</v>
      </c>
      <c r="B28" s="38">
        <f>B27/2</f>
        <v>0.002078771588932858</v>
      </c>
      <c r="C28" s="39"/>
      <c r="D28" s="40"/>
      <c r="E28" s="40"/>
      <c r="F28" s="40">
        <f aca="true" t="shared" si="0" ref="F28:L28">F27/2</f>
        <v>0.002088109972322071</v>
      </c>
      <c r="G28" s="40">
        <f t="shared" si="0"/>
        <v>0.002088458738818931</v>
      </c>
      <c r="H28" s="40">
        <f t="shared" si="0"/>
        <v>0.0020882345357129324</v>
      </c>
      <c r="I28" s="40">
        <f t="shared" si="0"/>
        <v>0.00208821246525108</v>
      </c>
      <c r="J28" s="40"/>
      <c r="K28" s="40">
        <f t="shared" si="0"/>
        <v>0.002088275924617686</v>
      </c>
      <c r="L28" s="80">
        <f t="shared" si="0"/>
        <v>0.002088275924617686</v>
      </c>
    </row>
    <row r="29" spans="1:12" ht="12.75">
      <c r="A29" s="48"/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80"/>
    </row>
    <row r="30" spans="1:12" ht="12.75">
      <c r="A30" s="45" t="s">
        <v>50</v>
      </c>
      <c r="B30" s="46"/>
      <c r="C30" s="39"/>
      <c r="D30" s="40"/>
      <c r="E30" s="40"/>
      <c r="F30" s="40"/>
      <c r="G30" s="40"/>
      <c r="H30" s="40"/>
      <c r="I30" s="40"/>
      <c r="J30" s="40"/>
      <c r="K30" s="40"/>
      <c r="L30" s="80"/>
    </row>
    <row r="31" spans="1:12" ht="11.4">
      <c r="A31" s="47" t="s">
        <v>69</v>
      </c>
      <c r="B31" s="53">
        <f>(-3*B12^2*B28^(2*B11)+2*B12*B26*B28^B11+2*B28-B27)</f>
        <v>8.698969407069067E-06</v>
      </c>
      <c r="C31" s="39"/>
      <c r="D31" s="40"/>
      <c r="E31" s="40"/>
      <c r="F31" s="54">
        <f>(-3*F12^2*F28^(2*F11)+2*F12*F26*F28^F11+2*F28-F27)</f>
        <v>8.71881494249934E-06</v>
      </c>
      <c r="G31" s="54">
        <f>(-3*G12^2*G28^(2*G11)+2*G12*G26*G28^G11+2*G28-G27)</f>
        <v>9.419942047726379E-06</v>
      </c>
      <c r="H31" s="54">
        <f>(-3*H12^2*H28^(2*H11)+2*H12*H26*H28^H11+2*H28-H27)</f>
        <v>8.887777039012952E-06</v>
      </c>
      <c r="I31" s="54">
        <f>(-3*I12^2*I28^(2*I11)+2*I12*I26*I28^I11+2*I28-I27)</f>
        <v>8.843417444358292E-06</v>
      </c>
      <c r="J31" s="54"/>
      <c r="K31" s="54">
        <f>(-3*K12^2*K28^(2*K11)+2*K12*K26*K28^K11+2*K28-K27)</f>
        <v>9.052404477868578E-06</v>
      </c>
      <c r="L31" s="82">
        <f>(-3*L12^2*L28^(2*L11)+2*L12*L26*L28^L11+2*L28-L27)</f>
        <v>9.052403486617226E-06</v>
      </c>
    </row>
    <row r="32" spans="1:12" ht="11.4">
      <c r="A32" s="55" t="s">
        <v>70</v>
      </c>
      <c r="B32" s="46">
        <f>(-6*B12^2*B11*B28^(2*B11-1)+2*B12*B26*B11*B28^(B11-1)+2)</f>
        <v>2.0019881768215737</v>
      </c>
      <c r="C32" s="39"/>
      <c r="D32" s="40"/>
      <c r="E32" s="40"/>
      <c r="F32" s="40">
        <f>(-6*F12^2*F11*F28^(2*F11-1)+2*F12*F26*F11*F28^(F11-1)+2)</f>
        <v>2.0019835715765497</v>
      </c>
      <c r="G32" s="40">
        <f>(-6*G12^2*G11*G28^(2*G11-1)+2*G12*G26*G11*G28^(G11-1)+2)</f>
        <v>2.0022022829568353</v>
      </c>
      <c r="H32" s="40">
        <f>(-6*H12^2*H11*H28^(2*H11-1)+2*H12*H26*H11*H28^(H11-1)+2)</f>
        <v>2.002100698036647</v>
      </c>
      <c r="I32" s="40">
        <f>(-6*I12^2*I11*I28^(2*I11-1)+2*I12*I26*I11*I28^(I11-1)+2)</f>
        <v>2.0020896751908683</v>
      </c>
      <c r="J32" s="40"/>
      <c r="K32" s="40">
        <f>(-6*K12^2*K11*K28^(2*K11-1)+2*K12*K26*K11*K28^(K11-1)+2)</f>
        <v>2.0021568365746822</v>
      </c>
      <c r="L32" s="80">
        <f>(-6*L12^2*L11*L28^(2*L11-1)+2*L12*L26*L11*L28^(L11-1)+2)</f>
        <v>2.0021704013613046</v>
      </c>
    </row>
    <row r="33" spans="1:12" ht="12.75">
      <c r="A33" s="56" t="s">
        <v>28</v>
      </c>
      <c r="B33" s="46">
        <f>B28-B31/B32</f>
        <v>0.002074426423707717</v>
      </c>
      <c r="C33" s="39"/>
      <c r="D33" s="40"/>
      <c r="E33" s="40"/>
      <c r="F33" s="40">
        <f>F28-F31/F32</f>
        <v>0.0020837548841653617</v>
      </c>
      <c r="G33" s="40">
        <f>G28-G31/G32</f>
        <v>0.002083753948434907</v>
      </c>
      <c r="H33" s="40">
        <f>H28-H31/H32</f>
        <v>0.0020837953099298694</v>
      </c>
      <c r="I33" s="40">
        <f>I28-I31/I32</f>
        <v>0.0020837953716743326</v>
      </c>
      <c r="J33" s="40"/>
      <c r="K33" s="40">
        <f>K28-K31/K32</f>
        <v>0.002083754598259779</v>
      </c>
      <c r="L33" s="80">
        <f>L28-L31/L32</f>
        <v>0.002083754629387039</v>
      </c>
    </row>
    <row r="34" spans="1:12" ht="11.4">
      <c r="A34" s="47" t="s">
        <v>71</v>
      </c>
      <c r="B34" s="53">
        <f>(-3*B12^2*B33^(2*B11)+2*B12*B26*B33^B11+2*B33-B27)</f>
        <v>-4.9926321757376435E-12</v>
      </c>
      <c r="C34" s="39"/>
      <c r="D34" s="40"/>
      <c r="E34" s="40"/>
      <c r="F34" s="54">
        <f>(-3*F12^2*F33^(2*F11)+2*F12*F26*F33^F11+2*F33-F27)</f>
        <v>-4.982551697618742E-12</v>
      </c>
      <c r="G34" s="54">
        <f>(-3*G12^2*G33^(2*G11)+2*G12*G26*G33^G11+2*G33-G27)</f>
        <v>-6.339969348123642E-12</v>
      </c>
      <c r="H34" s="54">
        <f>(-3*H12^2*H33^(2*H11)+2*H12*H26*H33^H11+2*H33-H27)</f>
        <v>-5.315392223592674E-12</v>
      </c>
      <c r="I34" s="54">
        <f>(-3*I12^2*I33^(2*I11)+2*I12*I26*I33^I11+2*I33-I27)</f>
        <v>-5.2378084508530875E-12</v>
      </c>
      <c r="J34" s="54"/>
      <c r="K34" s="54">
        <f>(-3*K12^2*K33^(2*K11)+2*K12*K26*K33^K11+2*K33-K27)</f>
        <v>-5.627998067581075E-12</v>
      </c>
      <c r="L34" s="82">
        <f>(-3*L12^2*L33^(2*L11)+2*L12*L26*L33^L11+2*L33-L27)</f>
        <v>-5.632034769109673E-12</v>
      </c>
    </row>
    <row r="35" spans="1:12" ht="11.4">
      <c r="A35" s="55" t="s">
        <v>70</v>
      </c>
      <c r="B35" s="46">
        <f>(-6*B12^2*B11*B33^(2*B11-1)+2*B12*B26*B11*B33^(B11-1)+2)</f>
        <v>2.0019904760415663</v>
      </c>
      <c r="C35" s="39"/>
      <c r="D35" s="40"/>
      <c r="E35" s="40"/>
      <c r="F35" s="40">
        <f>(-6*F12^2*F11*F33^(2*F11-1)+2*F12*F26*F11*F33^(F11-1)+2)</f>
        <v>2.001985860923292</v>
      </c>
      <c r="G35" s="40">
        <f>(-6*G12^2*G11*G33^(2*G11-1)+2*G12*G26*G11*G33^(G11-1)+2)</f>
        <v>2.0022049795700214</v>
      </c>
      <c r="H35" s="40">
        <f>(-6*H12^2*H11*H33^(2*H11-1)+2*H12*H26*H11*H33^(H11-1)+2)</f>
        <v>2.00210309402938</v>
      </c>
      <c r="I35" s="40">
        <f>(-6*I12^2*I11*I33^(2*I11-1)+2*I12*I26*I11*I33^(I11-1)+2)</f>
        <v>2.002092048035318</v>
      </c>
      <c r="J35" s="40"/>
      <c r="K35" s="40">
        <f>(-6*K12^2*K11*K33^(2*K11-1)+2*K12*K26*K11*K33^(K11-1)+2)</f>
        <v>2.0021593274315865</v>
      </c>
      <c r="L35" s="80">
        <f>(-6*L12^2*L11*L33^(2*L11-1)+2*L12*L26*L11*L33^(L11-1)+2)</f>
        <v>2.002172894018331</v>
      </c>
    </row>
    <row r="36" spans="1:12" ht="12.75">
      <c r="A36" s="56" t="s">
        <v>28</v>
      </c>
      <c r="B36" s="46">
        <f>B33-B34/B35</f>
        <v>0.002074426426201551</v>
      </c>
      <c r="C36" s="39"/>
      <c r="D36" s="40"/>
      <c r="E36" s="40"/>
      <c r="F36" s="40">
        <f>F33-F34/F35</f>
        <v>0.0020837548866541665</v>
      </c>
      <c r="G36" s="40">
        <f aca="true" t="shared" si="1" ref="G36:L36">G33-G34/G35</f>
        <v>0.0020837539516014004</v>
      </c>
      <c r="H36" s="40">
        <f t="shared" si="1"/>
        <v>0.002083795312584774</v>
      </c>
      <c r="I36" s="40">
        <f t="shared" si="1"/>
        <v>0.0020837953742905003</v>
      </c>
      <c r="J36" s="40"/>
      <c r="K36" s="40">
        <f t="shared" si="1"/>
        <v>0.0020837546010707433</v>
      </c>
      <c r="L36" s="80">
        <f t="shared" si="1"/>
        <v>0.0020837546322000004</v>
      </c>
    </row>
    <row r="37" spans="1:12" ht="11.4">
      <c r="A37" s="47" t="s">
        <v>85</v>
      </c>
      <c r="B37" s="53">
        <f>(-3*B12^2*B36^(2*B11)+2*B12*B26*B36^B11+2*B36-B27)</f>
        <v>0</v>
      </c>
      <c r="C37" s="39"/>
      <c r="D37" s="40"/>
      <c r="E37" s="40"/>
      <c r="F37" s="54">
        <f>(-3*F12^2*F36^(2*F11)+2*F12*F26*F36^F11+2*F36-F27)</f>
        <v>0</v>
      </c>
      <c r="G37" s="54">
        <f>(-3*G12^2*G36^(2*G11)+2*G12*G26*G36^G11+2*G36-G27)</f>
        <v>-8.673617379884035E-19</v>
      </c>
      <c r="H37" s="54">
        <f>(-3*H12^2*H36^(2*H11)+2*H12*H26*H36^H11+2*H36-H27)</f>
        <v>0</v>
      </c>
      <c r="I37" s="54">
        <f>(-3*I12^2*I36^(2*I11)+2*I12*I26*I36^I11+2*I36-I27)</f>
        <v>0</v>
      </c>
      <c r="J37" s="54"/>
      <c r="K37" s="54">
        <f>(-3*K12^2*K36^(2*K11)+2*K12*K26*K36^K11+2*K36-K27)</f>
        <v>0</v>
      </c>
      <c r="L37" s="82">
        <f>(-3*L12^2*L36^(2*L11)+2*L12*L26*L36^L11+2*L36-L27)</f>
        <v>0</v>
      </c>
    </row>
    <row r="38" spans="1:12" ht="11.4">
      <c r="A38" s="55" t="s">
        <v>70</v>
      </c>
      <c r="B38" s="46">
        <f>(-6*B12^2*B11*B36^(2*B11-1)+2*B12*B26*B11*B36^(B11-1)+2)</f>
        <v>2.0019904760402447</v>
      </c>
      <c r="C38" s="39"/>
      <c r="D38" s="40"/>
      <c r="E38" s="40"/>
      <c r="F38" s="40">
        <f>(-6*F12^2*F11*F36^(2*F11-1)+2*F12*F26*F11*F36^(F11-1)+2)</f>
        <v>2.0019858609219816</v>
      </c>
      <c r="G38" s="40">
        <f>(-6*G12^2*G11*G36^(2*G11-1)+2*G12*G26*G11*G36^(G11-1)+2)</f>
        <v>2.0022049795682033</v>
      </c>
      <c r="H38" s="40">
        <f>(-6*H12^2*H11*H36^(2*H11-1)+2*H12*H26*H11*H36^(H11-1)+2)</f>
        <v>2.002103094027945</v>
      </c>
      <c r="I38" s="40">
        <f>(-6*I12^2*I11*I36^(2*I11-1)+2*I12*I26*I11*I36^(I11-1)+2)</f>
        <v>2.002092048033911</v>
      </c>
      <c r="J38" s="40"/>
      <c r="K38" s="40">
        <f>(-6*K12^2*K11*K36^(2*K11-1)+2*K12*K26*K11*K36^(K11-1)+2)</f>
        <v>2.0021593274300353</v>
      </c>
      <c r="L38" s="80">
        <f>(-6*L12^2*L11*L36^(2*L11-1)+2*L12*L26*L11*L36^(L11-1)+2)</f>
        <v>2.002172894016778</v>
      </c>
    </row>
    <row r="39" spans="1:12" ht="12.75">
      <c r="A39" s="56" t="s">
        <v>29</v>
      </c>
      <c r="B39" s="46">
        <f>B36-B37/B38</f>
        <v>0.002074426426201551</v>
      </c>
      <c r="C39" s="39"/>
      <c r="D39" s="40"/>
      <c r="E39" s="40"/>
      <c r="F39" s="40">
        <f aca="true" t="shared" si="2" ref="F39:L39">F36-F37/F38</f>
        <v>0.0020837548866541665</v>
      </c>
      <c r="G39" s="40">
        <f t="shared" si="2"/>
        <v>0.002083753951601401</v>
      </c>
      <c r="H39" s="40">
        <f t="shared" si="2"/>
        <v>0.002083795312584774</v>
      </c>
      <c r="I39" s="40">
        <f t="shared" si="2"/>
        <v>0.0020837953742905003</v>
      </c>
      <c r="J39" s="40"/>
      <c r="K39" s="40">
        <f t="shared" si="2"/>
        <v>0.0020837546010707433</v>
      </c>
      <c r="L39" s="80">
        <f t="shared" si="2"/>
        <v>0.0020837546322000004</v>
      </c>
    </row>
    <row r="40" spans="1:12" ht="11.4">
      <c r="A40" s="57" t="s">
        <v>72</v>
      </c>
      <c r="B40" s="58">
        <f>B12*B39^B11</f>
        <v>0.0003795318455696792</v>
      </c>
      <c r="C40" s="39">
        <f>(B40-B13)/B13*1000</f>
        <v>-1.1005512049500379</v>
      </c>
      <c r="D40" s="40"/>
      <c r="E40" s="40"/>
      <c r="F40" s="59">
        <f>F12*F39^F11</f>
        <v>0.00038038425090899155</v>
      </c>
      <c r="G40" s="59">
        <f>G12*G39^G11</f>
        <v>0.0004103832582293303</v>
      </c>
      <c r="H40" s="59">
        <f>H12*H39^H11</f>
        <v>0.000387608194927069</v>
      </c>
      <c r="I40" s="59">
        <f>I12*I39^I11</f>
        <v>0.0003876082008955897</v>
      </c>
      <c r="J40" s="59"/>
      <c r="K40" s="59">
        <f>K12*K39^K11</f>
        <v>0.000394653666912566</v>
      </c>
      <c r="L40" s="83">
        <f>L12*L39^L11</f>
        <v>0.00039465080167450583</v>
      </c>
    </row>
    <row r="41" spans="1:12" ht="11.4">
      <c r="A41" s="57" t="s">
        <v>73</v>
      </c>
      <c r="B41" s="46">
        <f>B26-2*B40</f>
        <v>0.011258977527939416</v>
      </c>
      <c r="C41" s="39"/>
      <c r="D41" s="40"/>
      <c r="E41" s="40"/>
      <c r="F41" s="40">
        <f>F26-2*F40</f>
        <v>0.011258982380317691</v>
      </c>
      <c r="G41" s="40">
        <f>G26-2*G40</f>
        <v>0.011259182521599891</v>
      </c>
      <c r="H41" s="40">
        <f>H26-2*H40</f>
        <v>0.011259057803440662</v>
      </c>
      <c r="I41" s="40">
        <f>I26-2*I40</f>
        <v>0.01120195829666841</v>
      </c>
      <c r="J41" s="40"/>
      <c r="K41" s="40">
        <f>K26-2*K40</f>
        <v>0.011259106809523878</v>
      </c>
      <c r="L41" s="80">
        <f>L26-2*L40</f>
        <v>0.011259112539999998</v>
      </c>
    </row>
    <row r="42" spans="1:12" s="64" customFormat="1" ht="12">
      <c r="A42" s="60" t="s">
        <v>74</v>
      </c>
      <c r="B42" s="61">
        <f>1000*(B41/$B$8-1)</f>
        <v>1.9379852578416124</v>
      </c>
      <c r="C42" s="62"/>
      <c r="D42" s="63"/>
      <c r="E42" s="63"/>
      <c r="F42" s="63">
        <f>1000*(F41/$B$8-1)</f>
        <v>1.938417071662979</v>
      </c>
      <c r="G42" s="63">
        <f aca="true" t="shared" si="3" ref="G42:L42">1000*(G41/$B$8-1)</f>
        <v>1.9562276723643635</v>
      </c>
      <c r="H42" s="63">
        <f t="shared" si="3"/>
        <v>1.945128985927358</v>
      </c>
      <c r="I42" s="63">
        <f>1000*(I41/$I$8-1)</f>
        <v>1.946145567021107</v>
      </c>
      <c r="J42" s="63"/>
      <c r="K42" s="63">
        <f t="shared" si="3"/>
        <v>1.9494900441283658</v>
      </c>
      <c r="L42" s="84">
        <f t="shared" si="3"/>
        <v>1.9499999999998963</v>
      </c>
    </row>
    <row r="43" spans="1:12" ht="12">
      <c r="A43" s="60" t="s">
        <v>75</v>
      </c>
      <c r="B43" s="65">
        <f>1000*(B39/$B$10-1)</f>
        <v>-2.1998911969453028</v>
      </c>
      <c r="C43" s="66"/>
      <c r="D43" s="67"/>
      <c r="E43" s="67"/>
      <c r="F43" s="63">
        <f>1000*(F39/F10-1)</f>
        <v>-2.1998781553436153</v>
      </c>
      <c r="G43" s="63">
        <f>1000*(G39/G10-1)</f>
        <v>-2.200325902710465</v>
      </c>
      <c r="H43" s="63">
        <f>1000*(H39/H10-1)</f>
        <v>-2.1999149338546298</v>
      </c>
      <c r="I43" s="63">
        <f>1000*(I39/I10-1)</f>
        <v>-2.1998853868167023</v>
      </c>
      <c r="J43" s="63"/>
      <c r="K43" s="63">
        <f>1000*(K39/K10-1)</f>
        <v>-2.200014906156511</v>
      </c>
      <c r="L43" s="84">
        <f>1000*(L39/L10-1)</f>
        <v>-2.1999999999998687</v>
      </c>
    </row>
    <row r="44" spans="1:12" s="70" customFormat="1" ht="12.75">
      <c r="A44" s="68"/>
      <c r="B44" s="69"/>
      <c r="C44" s="39"/>
      <c r="D44" s="40"/>
      <c r="E44" s="40"/>
      <c r="F44" s="40"/>
      <c r="G44" s="40"/>
      <c r="H44" s="40"/>
      <c r="I44" s="40"/>
      <c r="J44" s="40"/>
      <c r="K44" s="40"/>
      <c r="L44" s="80"/>
    </row>
    <row r="45" spans="1:12" ht="12.75">
      <c r="A45" s="37" t="s">
        <v>76</v>
      </c>
      <c r="B45" s="38">
        <f>B10*(1+$B$3/1000)</f>
        <v>0.0020744262000000004</v>
      </c>
      <c r="C45" s="39"/>
      <c r="D45" s="40"/>
      <c r="E45" s="40"/>
      <c r="F45" s="40">
        <f>F10*(1+$B$3/1000)</f>
        <v>0.0020837546322000004</v>
      </c>
      <c r="G45" s="40">
        <f>G10*(1+$B$3/1000)</f>
        <v>0.0020837546322000004</v>
      </c>
      <c r="H45" s="40">
        <f>H10*(1+$B$3/1000)</f>
        <v>0.0020837951349335212</v>
      </c>
      <c r="I45" s="40">
        <f>I10*(1+$B$3/1000)</f>
        <v>0.0020837951349335212</v>
      </c>
      <c r="J45" s="40"/>
      <c r="K45" s="40">
        <f>K10*(1+$B$3/1000)</f>
        <v>0.0020837546322000004</v>
      </c>
      <c r="L45" s="80">
        <f>L10*(1+$B$3/1000)</f>
        <v>0.0020837546322000004</v>
      </c>
    </row>
    <row r="46" spans="1:12" ht="12.75">
      <c r="A46" s="60" t="s">
        <v>77</v>
      </c>
      <c r="B46" s="38">
        <f>((1+$B$3/1000)^B11-1)*1000</f>
        <v>-1.1006056664164543</v>
      </c>
      <c r="C46" s="39"/>
      <c r="D46" s="40"/>
      <c r="E46" s="40"/>
      <c r="F46" s="40">
        <f aca="true" t="shared" si="4" ref="F46:L46">((1+$B$3/1000)^F11-1)*1000</f>
        <v>-1.1006056664164543</v>
      </c>
      <c r="G46" s="40">
        <f t="shared" si="4"/>
        <v>-1.1358050391070407</v>
      </c>
      <c r="H46" s="40">
        <f t="shared" si="4"/>
        <v>-1.144604688471662</v>
      </c>
      <c r="I46" s="40">
        <f t="shared" si="4"/>
        <v>-1.144604688471662</v>
      </c>
      <c r="J46" s="40"/>
      <c r="K46" s="40">
        <f t="shared" si="4"/>
        <v>-1.1549441774165725</v>
      </c>
      <c r="L46" s="80">
        <f t="shared" si="4"/>
        <v>-1.1622037546357156</v>
      </c>
    </row>
    <row r="47" spans="1:12" ht="12.75">
      <c r="A47" s="37" t="s">
        <v>42</v>
      </c>
      <c r="B47" s="38">
        <f>(1+$B$2/1000)*B$8</f>
        <v>0.011259112539999998</v>
      </c>
      <c r="C47" s="39"/>
      <c r="D47" s="40"/>
      <c r="E47" s="40"/>
      <c r="F47" s="40">
        <f>(1+$B$2/1000)*F$8</f>
        <v>0.011259112539999998</v>
      </c>
      <c r="G47" s="40">
        <f>(1+$B$2/1000)*G$8</f>
        <v>0.011259112539999998</v>
      </c>
      <c r="H47" s="40">
        <f>(1+$B$2/1000)*H$8</f>
        <v>0.011259112539999998</v>
      </c>
      <c r="I47" s="40">
        <f>(1+$B$2/1000)*I$8</f>
        <v>0.011202001389999999</v>
      </c>
      <c r="J47" s="40"/>
      <c r="K47" s="40">
        <f>(1+$B$2/1000)*K$8</f>
        <v>0.011259112539999998</v>
      </c>
      <c r="L47" s="80">
        <f>(1+$B$2/1000)*L$8</f>
        <v>0.011259112539999998</v>
      </c>
    </row>
    <row r="48" spans="1:12" ht="12.75">
      <c r="A48" s="37" t="s">
        <v>78</v>
      </c>
      <c r="B48" s="38">
        <f>2*(B46/1000+1)*B13</f>
        <v>0.0007590636497540901</v>
      </c>
      <c r="C48" s="39"/>
      <c r="D48" s="40"/>
      <c r="E48" s="40"/>
      <c r="F48" s="40">
        <f>2*(F46/1000+1)*F13</f>
        <v>0.000760768455368009</v>
      </c>
      <c r="G48" s="40">
        <f>2*(G46/1000+1)*G13</f>
        <v>0.0008207666547878763</v>
      </c>
      <c r="H48" s="40">
        <f>2*(H46/1000+1)*H13</f>
        <v>0.0007752163554873049</v>
      </c>
      <c r="I48" s="40">
        <f>2*(I46/1000+1)*I13</f>
        <v>0.0007752163554873049</v>
      </c>
      <c r="J48" s="40"/>
      <c r="K48" s="40">
        <f>2*(K46/1000+1)*K13</f>
        <v>0.0007893073400121219</v>
      </c>
      <c r="L48" s="80">
        <f>2*(L46/1000+1)*L13</f>
        <v>0.0007893016033490118</v>
      </c>
    </row>
    <row r="49" spans="1:12" ht="12.75">
      <c r="A49" s="71" t="s">
        <v>79</v>
      </c>
      <c r="B49" s="72">
        <f>((B47+B48)/(B$8+2*B13)-1)*1000</f>
        <v>1.7567736998180816</v>
      </c>
      <c r="C49" s="39"/>
      <c r="D49" s="40"/>
      <c r="E49" s="40"/>
      <c r="F49" s="40">
        <f>((F47+F48)/(F$8+2*F13)-1)*1000</f>
        <v>1.7563672724312251</v>
      </c>
      <c r="G49" s="40">
        <f>((G47+G48)/(G$8+2*G13)-1)*1000</f>
        <v>1.7397315804450475</v>
      </c>
      <c r="H49" s="40">
        <f>((H47+H48)/(H$8+2*H13)-1)*1000</f>
        <v>1.7500768922285026</v>
      </c>
      <c r="I49" s="40">
        <f>((I47+I48)/(I$8+2*I13)-1)*1000</f>
        <v>1.7491237869473597</v>
      </c>
      <c r="J49" s="40"/>
      <c r="K49" s="40">
        <f>((K47+K48)/(K$8+2*K13)-1)*1000</f>
        <v>1.7460003901186294</v>
      </c>
      <c r="L49" s="80">
        <f>((L47+L48)/(L$8+2*L13)-1)*1000</f>
        <v>1.745523424725448</v>
      </c>
    </row>
    <row r="50" spans="1:12" ht="12.75">
      <c r="A50" s="71" t="s">
        <v>80</v>
      </c>
      <c r="B50" s="72">
        <f>(((2*B45+B48*B47+B48*B48/4)/B18)-1)*1000</f>
        <v>-2.19375500832808</v>
      </c>
      <c r="C50" s="39"/>
      <c r="D50" s="40"/>
      <c r="E50" s="40"/>
      <c r="F50" s="40">
        <f>(((2*F45+F48*F47+F48*F48/4)/F18)-1)*1000</f>
        <v>-2.1937689738914523</v>
      </c>
      <c r="G50" s="40">
        <f>(((2*G45+G48*G47+G48*G48/4)/G18)-1)*1000</f>
        <v>-2.193359077122703</v>
      </c>
      <c r="H50" s="40">
        <f>(((2*H45+H48*H47+H48*H48/4)/H18)-1)*1000</f>
        <v>-2.193745755998733</v>
      </c>
      <c r="I50" s="40">
        <f>(((2*I45+I48*I47+I48*I48/4)/I18)-1)*1000</f>
        <v>-2.1937774305381685</v>
      </c>
      <c r="J50" s="40"/>
      <c r="K50" s="40">
        <f>(((2*K45+K48*K47+K48*K48/4)/K18)-1)*1000</f>
        <v>-2.193654940380041</v>
      </c>
      <c r="L50" s="80">
        <f>(((2*L45+L48*L47+L48*L48/4)/L18)-1)*1000</f>
        <v>-2.1936709121842535</v>
      </c>
    </row>
    <row r="51" spans="1:12" ht="12.75">
      <c r="A51" s="73" t="s">
        <v>52</v>
      </c>
      <c r="B51" s="72">
        <f>$B$2-B49</f>
        <v>0.19322630018191833</v>
      </c>
      <c r="C51" s="39"/>
      <c r="D51" s="40"/>
      <c r="E51" s="40"/>
      <c r="F51" s="40">
        <f>$B$2-F49</f>
        <v>0.1936327275687748</v>
      </c>
      <c r="G51" s="40">
        <f>$B$2-G49</f>
        <v>0.21026841955495246</v>
      </c>
      <c r="H51" s="40">
        <f>$B$2-H49</f>
        <v>0.19992310777149735</v>
      </c>
      <c r="I51" s="40">
        <f>$B$2-I49</f>
        <v>0.20087621305264025</v>
      </c>
      <c r="J51" s="40"/>
      <c r="K51" s="40">
        <f>$B$2-K49</f>
        <v>0.20399960988137056</v>
      </c>
      <c r="L51" s="80">
        <f>$B$2-L49</f>
        <v>0.20447657527455187</v>
      </c>
    </row>
    <row r="52" spans="1:12" ht="12.75">
      <c r="A52" s="48"/>
      <c r="B52" s="38"/>
      <c r="C52" s="39"/>
      <c r="D52" s="40"/>
      <c r="E52" s="40"/>
      <c r="F52" s="40"/>
      <c r="G52" s="40"/>
      <c r="H52" s="40"/>
      <c r="I52" s="40"/>
      <c r="J52" s="40"/>
      <c r="K52" s="40"/>
      <c r="L52" s="80"/>
    </row>
    <row r="53" spans="1:12" ht="20.4">
      <c r="A53" s="51" t="s">
        <v>81</v>
      </c>
      <c r="B53" s="38">
        <f>B42-$B$2-($B$4-B49)</f>
        <v>-0.0007644670657540598</v>
      </c>
      <c r="C53" s="39"/>
      <c r="D53" s="40"/>
      <c r="E53" s="40"/>
      <c r="F53" s="40">
        <f>F42-$B$2-($B$4-F49)</f>
        <v>-0.0007390806312439491</v>
      </c>
      <c r="G53" s="40">
        <f>G42-$B$2-($B$4-G49)</f>
        <v>0.00043582808396291917</v>
      </c>
      <c r="H53" s="40">
        <f>H42-$B$2-($B$4-H49)</f>
        <v>-0.00031754656958749017</v>
      </c>
      <c r="I53" s="40">
        <f>I42-$B$2-($B$4-I49)</f>
        <v>-0.0002540707569813616</v>
      </c>
      <c r="J53" s="40"/>
      <c r="K53" s="40">
        <f>K42-$B$2-($B$4-K49)</f>
        <v>-3.299047845284342E-05</v>
      </c>
      <c r="L53" s="80">
        <f>L42-$B$2-($B$4-L49)</f>
        <v>-1.0369483049998962E-13</v>
      </c>
    </row>
    <row r="54" ht="12.75">
      <c r="B54" s="74"/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A. Brand</dc:creator>
  <cp:keywords/>
  <dc:description/>
  <cp:lastModifiedBy>Heiko Moossen</cp:lastModifiedBy>
  <cp:lastPrinted>2003-10-02T08:25:01Z</cp:lastPrinted>
  <dcterms:created xsi:type="dcterms:W3CDTF">2003-09-19T18:25:04Z</dcterms:created>
  <dcterms:modified xsi:type="dcterms:W3CDTF">2017-07-18T13:42:02Z</dcterms:modified>
  <cp:category/>
  <cp:version/>
  <cp:contentType/>
  <cp:contentStatus/>
</cp:coreProperties>
</file>